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24226"/>
  <mc:AlternateContent xmlns:mc="http://schemas.openxmlformats.org/markup-compatibility/2006">
    <mc:Choice Requires="x15">
      <x15ac:absPath xmlns:x15ac="http://schemas.microsoft.com/office/spreadsheetml/2010/11/ac" url="C:\CAEM 2022\1-MATERIALES 24-07-2025\1 TRANSPARENCIA GABRIELA\TRANSPARENCIA PROACTIVA\2025\"/>
    </mc:Choice>
  </mc:AlternateContent>
  <xr:revisionPtr revIDLastSave="0" documentId="13_ncr:1_{F043311F-15CA-40F6-8753-782D4165E0C6}" xr6:coauthVersionLast="47" xr6:coauthVersionMax="47" xr10:uidLastSave="{00000000-0000-0000-0000-000000000000}"/>
  <bookViews>
    <workbookView xWindow="-120" yWindow="-120" windowWidth="28005" windowHeight="16440" tabRatio="605" firstSheet="1" activeTab="3" xr2:uid="{00000000-000D-0000-FFFF-FFFF00000000}"/>
  </bookViews>
  <sheets>
    <sheet name="Resumen" sheetId="25" state="hidden" r:id="rId1"/>
    <sheet name="OBRA 2022" sheetId="8" r:id="rId2"/>
    <sheet name="Formato 1" sheetId="30" r:id="rId3"/>
    <sheet name="Formato 2" sheetId="31" r:id="rId4"/>
    <sheet name="PAD REFRENDO 2022-2023" sheetId="28" state="hidden" r:id="rId5"/>
    <sheet name="FID AÑOS ANTERIORES" sheetId="17" state="hidden" r:id="rId6"/>
    <sheet name="ESTIMACIONES REGISTRADS" sheetId="29" state="hidden" r:id="rId7"/>
  </sheets>
  <externalReferences>
    <externalReference r:id="rId8"/>
    <externalReference r:id="rId9"/>
    <externalReference r:id="rId10"/>
    <externalReference r:id="rId11"/>
  </externalReferences>
  <definedNames>
    <definedName name="_xlnm._FilterDatabase" localSheetId="5" hidden="1">'FID AÑOS ANTERIORES'!$A$6:$FH$71</definedName>
    <definedName name="_xlnm._FilterDatabase" localSheetId="1" hidden="1">'OBRA 2022'!$A$16:$L$26</definedName>
    <definedName name="_xlnm._FilterDatabase" localSheetId="4" hidden="1">'PAD REFRENDO 2022-2023'!$A$6:$FJ$118</definedName>
    <definedName name="apazu.2010">#REF!</definedName>
    <definedName name="apazu.2011">#REF!</definedName>
    <definedName name="apazu.2012">#REF!</definedName>
    <definedName name="apazu.2013">#REF!</definedName>
    <definedName name="_xlnm.Print_Area" localSheetId="2">'Formato 1'!$B$1:$F$12</definedName>
    <definedName name="_xlnm.Print_Area" localSheetId="3">'Formato 2'!$A$1:$J$15</definedName>
    <definedName name="_xlnm.Print_Area" localSheetId="1">'OBRA 2022'!$A$1:$L$35</definedName>
    <definedName name="_xlnm.Print_Area" localSheetId="4">'PAD REFRENDO 2022-2023'!$A$1:$FJ$132</definedName>
    <definedName name="AVANCES">[1]OBRAS!$Z$1:$Z$65536</definedName>
    <definedName name="_xlnm.Database">#REF!</definedName>
    <definedName name="CONC">#REF!</definedName>
    <definedName name="CONTRATO05">[1]OBRAS!$DH$1:$DH$65536</definedName>
    <definedName name="CONTRATORIGINAL">[1]OBRAS!$DB$1:$DB$65536</definedName>
    <definedName name="CONTROL">#REF!</definedName>
    <definedName name="CONVENIO">#REF!</definedName>
    <definedName name="CUANTIFICADOR">#REF!</definedName>
    <definedName name="DEPENDENCIA">[2]CATALAGO!$B$4:$B$7</definedName>
    <definedName name="DESMADRAR">#REF!</definedName>
    <definedName name="ESTIMACIONES">[1]OBRAS!$DO$1:$DO$65536</definedName>
    <definedName name="FECHAS">[1]OBRAS!$V$1:$V$65536</definedName>
    <definedName name="fid.2010">#REF!</definedName>
    <definedName name="fid.2011">#REF!</definedName>
    <definedName name="fid.2012">#REF!</definedName>
    <definedName name="fid.2013">#REF!</definedName>
    <definedName name="fmvm.2010">#REF!</definedName>
    <definedName name="fmvm.2011">#REF!</definedName>
    <definedName name="fmvm.2012">#REF!</definedName>
    <definedName name="fmvm.2013">#REF!</definedName>
    <definedName name="fmvt.2010">#REF!</definedName>
    <definedName name="fmvt.2011">#REF!</definedName>
    <definedName name="fmvt.2012">#REF!</definedName>
    <definedName name="fmvt.2013">#REF!</definedName>
    <definedName name="fmvt.2014">#REF!</definedName>
    <definedName name="FOLIO">'[3]FICHA TÉCNICA'!$U$1</definedName>
    <definedName name="fonden.2010">#REF!</definedName>
    <definedName name="IMPORTEAUTO">[1]OBRAS!$AJ$1:$AJ$65536</definedName>
    <definedName name="INDICADORES">#REF!</definedName>
    <definedName name="NO">#REF!</definedName>
    <definedName name="OFICIO2005">[1]OBRAS!$AG$1:$AG$65536</definedName>
    <definedName name="OFICIOGLOBAL">[1]OBRAS!$CN$1:$CN$65536</definedName>
    <definedName name="or.2010">#REF!</definedName>
    <definedName name="or.2011">#REF!</definedName>
    <definedName name="or.2012">#REF!</definedName>
    <definedName name="or.2013">#REF!</definedName>
    <definedName name="pal.2011">#REF!</definedName>
    <definedName name="pal.2012">#REF!</definedName>
    <definedName name="pal.2013">#REF!</definedName>
    <definedName name="pca.2013">#REF!</definedName>
    <definedName name="pioptar.2012">#REF!</definedName>
    <definedName name="prodder.2010">#REF!</definedName>
    <definedName name="prome.2013">#REF!</definedName>
    <definedName name="PROPUESTA01">[1]OBRAS!$DT$12</definedName>
    <definedName name="PROPUESTA02">[1]OBRAS!$EJ$1:$EJ$65536</definedName>
    <definedName name="PROPUESTA03">[1]OBRAS!$EX$1:$EX$65536</definedName>
    <definedName name="PROPUESTA04">[1]OBRAS!$FN$1:$FN$65536</definedName>
    <definedName name="PROSSAPYS">#REF!</definedName>
    <definedName name="protar.2011">#REF!</definedName>
    <definedName name="protar.2012">#REF!</definedName>
    <definedName name="protar.2013">#REF!</definedName>
    <definedName name="PRP">#REF!</definedName>
    <definedName name="REFRENDOAUTO">#REF!</definedName>
    <definedName name="SEGUIMIENTO">[1]OBRAS!$S$1:$S$65536</definedName>
    <definedName name="SITUACION">[1]OBRAS!$AB$1:$AB$65536</definedName>
    <definedName name="SOLICITADOMODIFI">[1]OBRAS!$FS$1:$FS$65536</definedName>
    <definedName name="TIPOBRA">#REF!</definedName>
    <definedName name="_xlnm.Print_Titles" localSheetId="1">'OBRA 2022'!$10:$15</definedName>
    <definedName name="_xlnm.Print_Titles" localSheetId="4">'PAD REFRENDO 2022-2023'!$1:$5</definedName>
    <definedName name="uo31.2014">#REF!</definedName>
    <definedName name="uo31.2014.ra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6" i="8" l="1"/>
  <c r="J16" i="8"/>
  <c r="I16" i="8"/>
  <c r="H16" i="8"/>
  <c r="G16" i="8"/>
  <c r="F16" i="8"/>
  <c r="E16" i="8"/>
  <c r="D16" i="8"/>
  <c r="C16" i="8"/>
  <c r="B16" i="8"/>
  <c r="A18" i="8"/>
  <c r="A19" i="8" s="1"/>
  <c r="A20" i="8" s="1"/>
  <c r="A21" i="8" s="1"/>
  <c r="A22" i="8" s="1"/>
  <c r="A23" i="8" s="1"/>
  <c r="A24" i="8" s="1"/>
  <c r="A25" i="8" s="1"/>
  <c r="A26" i="8" s="1"/>
  <c r="A27" i="8" s="1"/>
  <c r="A28" i="8" s="1"/>
  <c r="A29" i="8" s="1"/>
  <c r="A30" i="8" s="1"/>
  <c r="A31" i="8" s="1"/>
  <c r="A32" i="8" s="1"/>
  <c r="A33" i="8" s="1"/>
  <c r="A34" i="8" s="1"/>
  <c r="A35" i="8" s="1"/>
  <c r="A16" i="8" l="1"/>
  <c r="X47" i="28" l="1"/>
  <c r="X43" i="28"/>
  <c r="X42" i="28"/>
  <c r="Y42" i="28" s="1"/>
  <c r="X40" i="28"/>
  <c r="Y40" i="28" s="1"/>
  <c r="X39" i="28"/>
  <c r="Z139" i="28"/>
  <c r="Z124" i="28"/>
  <c r="Z123" i="28" s="1"/>
  <c r="EM123" i="28"/>
  <c r="EH123" i="28"/>
  <c r="P123" i="28"/>
  <c r="K123" i="28"/>
  <c r="J123" i="28"/>
  <c r="FB118" i="28"/>
  <c r="EJ118" i="28"/>
  <c r="EI118" i="28"/>
  <c r="EH118" i="28"/>
  <c r="FB117" i="28"/>
  <c r="EG117" i="28"/>
  <c r="EF117" i="28"/>
  <c r="EE117" i="28"/>
  <c r="ED117" i="28"/>
  <c r="EC117" i="28"/>
  <c r="EB117" i="28"/>
  <c r="EA117" i="28"/>
  <c r="DZ117" i="28"/>
  <c r="DY117" i="28"/>
  <c r="DX117" i="28"/>
  <c r="DW117" i="28"/>
  <c r="DV117" i="28"/>
  <c r="DU117" i="28"/>
  <c r="DT117" i="28"/>
  <c r="DS117" i="28"/>
  <c r="DR117" i="28"/>
  <c r="DQ117" i="28"/>
  <c r="DP117" i="28"/>
  <c r="DO117" i="28"/>
  <c r="DN117" i="28"/>
  <c r="DM117" i="28"/>
  <c r="DL117" i="28"/>
  <c r="DK117" i="28"/>
  <c r="DJ117" i="28"/>
  <c r="DI117" i="28"/>
  <c r="DH117" i="28"/>
  <c r="DG117" i="28"/>
  <c r="DF117" i="28"/>
  <c r="DE117" i="28"/>
  <c r="DD117" i="28"/>
  <c r="DC117" i="28"/>
  <c r="DB117" i="28"/>
  <c r="DA117" i="28"/>
  <c r="CZ117" i="28"/>
  <c r="CY117" i="28"/>
  <c r="CX117" i="28"/>
  <c r="CV117" i="28"/>
  <c r="CU117" i="28"/>
  <c r="CT117" i="28"/>
  <c r="CR117" i="28"/>
  <c r="CQ117" i="28"/>
  <c r="CP117" i="28"/>
  <c r="CN117" i="28"/>
  <c r="CM117" i="28"/>
  <c r="CL117" i="28"/>
  <c r="CJ117" i="28"/>
  <c r="CI117" i="28"/>
  <c r="CH117" i="28"/>
  <c r="CF117" i="28"/>
  <c r="CE117" i="28"/>
  <c r="CD117" i="28"/>
  <c r="CB117" i="28"/>
  <c r="CA117" i="28"/>
  <c r="BZ117" i="28"/>
  <c r="BX117" i="28"/>
  <c r="BW117" i="28"/>
  <c r="BV117" i="28"/>
  <c r="BT117" i="28"/>
  <c r="BS117" i="28"/>
  <c r="BR117" i="28"/>
  <c r="BP117" i="28"/>
  <c r="BO117" i="28"/>
  <c r="BN117" i="28"/>
  <c r="BL117" i="28"/>
  <c r="BK117" i="28"/>
  <c r="BJ117" i="28"/>
  <c r="BG117" i="28"/>
  <c r="BF117" i="28"/>
  <c r="BC117" i="28"/>
  <c r="BB117" i="28"/>
  <c r="AY117" i="28"/>
  <c r="AX117" i="28"/>
  <c r="AU117" i="28"/>
  <c r="AT117" i="28"/>
  <c r="AQ117" i="28"/>
  <c r="AP117" i="28"/>
  <c r="AM117" i="28"/>
  <c r="AL117" i="28"/>
  <c r="AI117" i="28"/>
  <c r="AH117" i="28"/>
  <c r="AE117" i="28"/>
  <c r="AD117" i="28"/>
  <c r="AC117" i="28"/>
  <c r="Z117" i="28"/>
  <c r="X117" i="28"/>
  <c r="FB116" i="28"/>
  <c r="EG116" i="28"/>
  <c r="EF116" i="28"/>
  <c r="EE116" i="28"/>
  <c r="ED116" i="28"/>
  <c r="EC116" i="28"/>
  <c r="EB116" i="28"/>
  <c r="EA116" i="28"/>
  <c r="DZ116" i="28"/>
  <c r="DY116" i="28"/>
  <c r="DX116" i="28"/>
  <c r="DW116" i="28"/>
  <c r="DV116" i="28"/>
  <c r="DU116" i="28"/>
  <c r="DT116" i="28"/>
  <c r="DS116" i="28"/>
  <c r="DR116" i="28"/>
  <c r="DQ116" i="28"/>
  <c r="DP116" i="28"/>
  <c r="DO116" i="28"/>
  <c r="DN116" i="28"/>
  <c r="DM116" i="28"/>
  <c r="DL116" i="28"/>
  <c r="DK116" i="28"/>
  <c r="DJ116" i="28"/>
  <c r="DI116" i="28"/>
  <c r="DH116" i="28"/>
  <c r="DG116" i="28"/>
  <c r="DF116" i="28"/>
  <c r="DE116" i="28"/>
  <c r="DD116" i="28"/>
  <c r="DC116" i="28"/>
  <c r="DB116" i="28"/>
  <c r="DA116" i="28"/>
  <c r="CY116" i="28"/>
  <c r="CX116" i="28"/>
  <c r="CU116" i="28"/>
  <c r="CT116" i="28"/>
  <c r="CR116" i="28"/>
  <c r="CQ116" i="28"/>
  <c r="CP116" i="28"/>
  <c r="CM116" i="28"/>
  <c r="CL116" i="28"/>
  <c r="CI116" i="28"/>
  <c r="CH116" i="28"/>
  <c r="CE116" i="28"/>
  <c r="CD116" i="28"/>
  <c r="CA116" i="28"/>
  <c r="BZ116" i="28"/>
  <c r="BW116" i="28"/>
  <c r="BV116" i="28"/>
  <c r="BS116" i="28"/>
  <c r="BR116" i="28"/>
  <c r="BO116" i="28"/>
  <c r="BN116" i="28"/>
  <c r="BK116" i="28"/>
  <c r="BJ116" i="28"/>
  <c r="BG116" i="28"/>
  <c r="BF116" i="28"/>
  <c r="BC116" i="28"/>
  <c r="BB116" i="28"/>
  <c r="AY116" i="28"/>
  <c r="AX116" i="28"/>
  <c r="AU116" i="28"/>
  <c r="AT116" i="28"/>
  <c r="AQ116" i="28"/>
  <c r="AP116" i="28"/>
  <c r="AM116" i="28"/>
  <c r="AL116" i="28"/>
  <c r="AI116" i="28"/>
  <c r="AH116" i="28"/>
  <c r="AE116" i="28"/>
  <c r="AD116" i="28"/>
  <c r="AC116" i="28"/>
  <c r="AB116" i="28"/>
  <c r="Z116" i="28"/>
  <c r="FB115" i="28"/>
  <c r="EG115" i="28"/>
  <c r="EF115" i="28"/>
  <c r="EE115" i="28"/>
  <c r="ED115" i="28"/>
  <c r="EC115" i="28"/>
  <c r="EB115" i="28"/>
  <c r="EA115" i="28"/>
  <c r="DZ115" i="28"/>
  <c r="DY115" i="28"/>
  <c r="DX115" i="28"/>
  <c r="DW115" i="28"/>
  <c r="DV115" i="28"/>
  <c r="DU115" i="28"/>
  <c r="DT115" i="28"/>
  <c r="DS115" i="28"/>
  <c r="DR115" i="28"/>
  <c r="DQ115" i="28"/>
  <c r="DP115" i="28"/>
  <c r="DO115" i="28"/>
  <c r="DN115" i="28"/>
  <c r="DM115" i="28"/>
  <c r="DL115" i="28"/>
  <c r="DK115" i="28"/>
  <c r="DJ115" i="28"/>
  <c r="DI115" i="28"/>
  <c r="DH115" i="28"/>
  <c r="DG115" i="28"/>
  <c r="DF115" i="28"/>
  <c r="DE115" i="28"/>
  <c r="DD115" i="28"/>
  <c r="DC115" i="28"/>
  <c r="DB115" i="28"/>
  <c r="DA115" i="28"/>
  <c r="CZ115" i="28"/>
  <c r="CY115" i="28"/>
  <c r="CX115" i="28"/>
  <c r="CV115" i="28"/>
  <c r="CU115" i="28"/>
  <c r="CT115" i="28"/>
  <c r="CR115" i="28"/>
  <c r="CQ115" i="28"/>
  <c r="CP115" i="28"/>
  <c r="CN115" i="28"/>
  <c r="CM115" i="28"/>
  <c r="CL115" i="28"/>
  <c r="CJ115" i="28"/>
  <c r="CI115" i="28"/>
  <c r="CH115" i="28"/>
  <c r="CF115" i="28"/>
  <c r="CE115" i="28"/>
  <c r="CD115" i="28"/>
  <c r="CB115" i="28"/>
  <c r="CA115" i="28"/>
  <c r="BZ115" i="28"/>
  <c r="BX115" i="28"/>
  <c r="BW115" i="28"/>
  <c r="BV115" i="28"/>
  <c r="BS115" i="28"/>
  <c r="BR115" i="28"/>
  <c r="BO115" i="28"/>
  <c r="BN115" i="28"/>
  <c r="BK115" i="28"/>
  <c r="BJ115" i="28"/>
  <c r="BG115" i="28"/>
  <c r="BF115" i="28"/>
  <c r="BC115" i="28"/>
  <c r="BB115" i="28"/>
  <c r="AY115" i="28"/>
  <c r="AX115" i="28"/>
  <c r="AU115" i="28"/>
  <c r="AT115" i="28"/>
  <c r="AQ115" i="28"/>
  <c r="AP115" i="28"/>
  <c r="AM115" i="28"/>
  <c r="AL115" i="28"/>
  <c r="AI115" i="28"/>
  <c r="AH115" i="28"/>
  <c r="AE115" i="28"/>
  <c r="AD115" i="28"/>
  <c r="AC115" i="28"/>
  <c r="AB115" i="28"/>
  <c r="Z115" i="28"/>
  <c r="X115" i="28"/>
  <c r="X116" i="28" s="1"/>
  <c r="X118" i="28" s="1"/>
  <c r="I115" i="28"/>
  <c r="I116" i="28" s="1"/>
  <c r="FB114" i="28"/>
  <c r="EG114" i="28"/>
  <c r="EF114" i="28"/>
  <c r="EE114" i="28"/>
  <c r="ED114" i="28"/>
  <c r="EC114" i="28"/>
  <c r="EB114" i="28"/>
  <c r="EA114" i="28"/>
  <c r="DZ114" i="28"/>
  <c r="DY114" i="28"/>
  <c r="DX114" i="28"/>
  <c r="DW114" i="28"/>
  <c r="DV114" i="28"/>
  <c r="DU114" i="28"/>
  <c r="DT114" i="28"/>
  <c r="DS114" i="28"/>
  <c r="DR114" i="28"/>
  <c r="DQ114" i="28"/>
  <c r="DP114" i="28"/>
  <c r="DO114" i="28"/>
  <c r="DN114" i="28"/>
  <c r="DM114" i="28"/>
  <c r="DL114" i="28"/>
  <c r="DK114" i="28"/>
  <c r="DJ114" i="28"/>
  <c r="DI114" i="28"/>
  <c r="DH114" i="28"/>
  <c r="DG114" i="28"/>
  <c r="DF114" i="28"/>
  <c r="DE114" i="28"/>
  <c r="DD114" i="28"/>
  <c r="DC114" i="28"/>
  <c r="DB114" i="28"/>
  <c r="DA114" i="28"/>
  <c r="CZ114" i="28"/>
  <c r="CY114" i="28"/>
  <c r="CX114" i="28"/>
  <c r="CV114" i="28"/>
  <c r="CU114" i="28"/>
  <c r="CT114" i="28"/>
  <c r="CR114" i="28"/>
  <c r="CQ114" i="28"/>
  <c r="CP114" i="28"/>
  <c r="CN114" i="28"/>
  <c r="CM114" i="28"/>
  <c r="CL114" i="28"/>
  <c r="CJ114" i="28"/>
  <c r="CI114" i="28"/>
  <c r="CH114" i="28"/>
  <c r="CF114" i="28"/>
  <c r="CE114" i="28"/>
  <c r="CD114" i="28"/>
  <c r="CB114" i="28"/>
  <c r="CA114" i="28"/>
  <c r="BZ114" i="28"/>
  <c r="BW114" i="28"/>
  <c r="BV114" i="28"/>
  <c r="BS114" i="28"/>
  <c r="BR114" i="28"/>
  <c r="BO114" i="28"/>
  <c r="BN114" i="28"/>
  <c r="BK114" i="28"/>
  <c r="BJ114" i="28"/>
  <c r="BG114" i="28"/>
  <c r="BF114" i="28"/>
  <c r="BC114" i="28"/>
  <c r="BB114" i="28"/>
  <c r="AY114" i="28"/>
  <c r="AX114" i="28"/>
  <c r="AU114" i="28"/>
  <c r="AT114" i="28"/>
  <c r="AQ114" i="28"/>
  <c r="AP114" i="28"/>
  <c r="AM114" i="28"/>
  <c r="AL114" i="28"/>
  <c r="AI114" i="28"/>
  <c r="AH114" i="28"/>
  <c r="AE114" i="28"/>
  <c r="AD114" i="28"/>
  <c r="X114" i="28"/>
  <c r="EI113" i="28"/>
  <c r="EL113" i="28" s="1"/>
  <c r="EH113" i="28"/>
  <c r="AN113" i="28"/>
  <c r="AJ113" i="28"/>
  <c r="AF113" i="28"/>
  <c r="AA113" i="28"/>
  <c r="Y113" i="28"/>
  <c r="EI112" i="28"/>
  <c r="EH112" i="28"/>
  <c r="EY112" i="28" s="1"/>
  <c r="AR112" i="28"/>
  <c r="AN112" i="28"/>
  <c r="AJ112" i="28"/>
  <c r="AF112" i="28"/>
  <c r="AA112" i="28"/>
  <c r="Y112" i="28"/>
  <c r="EI111" i="28"/>
  <c r="EL111" i="28" s="1"/>
  <c r="EH111" i="28"/>
  <c r="EY111" i="28" s="1"/>
  <c r="AJ111" i="28"/>
  <c r="AF111" i="28"/>
  <c r="AA111" i="28"/>
  <c r="Y111" i="28"/>
  <c r="EJ110" i="28"/>
  <c r="EI110" i="28"/>
  <c r="EL110" i="28" s="1"/>
  <c r="EH110" i="28"/>
  <c r="AA110" i="28"/>
  <c r="Y110" i="28"/>
  <c r="EI109" i="28"/>
  <c r="EL109" i="28" s="1"/>
  <c r="EH109" i="28"/>
  <c r="EY109" i="28" s="1"/>
  <c r="AJ109" i="28"/>
  <c r="AF109" i="28"/>
  <c r="AA109" i="28"/>
  <c r="Y109" i="28"/>
  <c r="EI108" i="28"/>
  <c r="EL108" i="28" s="1"/>
  <c r="EH108" i="28"/>
  <c r="EY108" i="28" s="1"/>
  <c r="AN108" i="28"/>
  <c r="AJ108" i="28"/>
  <c r="AF108" i="28"/>
  <c r="AA108" i="28"/>
  <c r="Y108" i="28"/>
  <c r="EI107" i="28"/>
  <c r="EL107" i="28" s="1"/>
  <c r="EH107" i="28"/>
  <c r="AN107" i="28"/>
  <c r="AJ107" i="28"/>
  <c r="AF107" i="28"/>
  <c r="AA107" i="28"/>
  <c r="Y107" i="28"/>
  <c r="EI106" i="28"/>
  <c r="EL106" i="28" s="1"/>
  <c r="EH106" i="28"/>
  <c r="EM106" i="28" s="1"/>
  <c r="AN106" i="28"/>
  <c r="AJ106" i="28"/>
  <c r="AF106" i="28"/>
  <c r="AA106" i="28"/>
  <c r="Y106" i="28"/>
  <c r="EI105" i="28"/>
  <c r="EL105" i="28" s="1"/>
  <c r="EH105" i="28"/>
  <c r="EY105" i="28" s="1"/>
  <c r="AZ105" i="28"/>
  <c r="AV105" i="28"/>
  <c r="AR105" i="28"/>
  <c r="AN105" i="28"/>
  <c r="AJ105" i="28"/>
  <c r="AF105" i="28"/>
  <c r="AA105" i="28"/>
  <c r="Y105" i="28"/>
  <c r="EI104" i="28"/>
  <c r="EH104" i="28"/>
  <c r="EY104" i="28" s="1"/>
  <c r="AJ104" i="28"/>
  <c r="AF104" i="28"/>
  <c r="AA104" i="28"/>
  <c r="Y104" i="28"/>
  <c r="EI103" i="28"/>
  <c r="EL103" i="28" s="1"/>
  <c r="EH103" i="28"/>
  <c r="EY103" i="28" s="1"/>
  <c r="AN103" i="28"/>
  <c r="AJ103" i="28"/>
  <c r="AF103" i="28"/>
  <c r="X103" i="28"/>
  <c r="Y103" i="28" s="1"/>
  <c r="H103" i="28"/>
  <c r="AA103" i="28" s="1"/>
  <c r="EI102" i="28"/>
  <c r="EL102" i="28" s="1"/>
  <c r="EH102" i="28"/>
  <c r="EM102" i="28" s="1"/>
  <c r="AJ102" i="28"/>
  <c r="AF102" i="28"/>
  <c r="Y102" i="28"/>
  <c r="H102" i="28"/>
  <c r="H115" i="28" s="1"/>
  <c r="H116" i="28" s="1"/>
  <c r="FB101" i="28"/>
  <c r="EI101" i="28"/>
  <c r="EH101" i="28"/>
  <c r="EY101" i="28" s="1"/>
  <c r="AR101" i="28"/>
  <c r="AN101" i="28"/>
  <c r="AJ101" i="28"/>
  <c r="AF101" i="28"/>
  <c r="Y101" i="28"/>
  <c r="I101" i="28"/>
  <c r="I114" i="28" s="1"/>
  <c r="H101" i="28"/>
  <c r="H114" i="28" s="1"/>
  <c r="EI100" i="28"/>
  <c r="EH100" i="28"/>
  <c r="EY100" i="28" s="1"/>
  <c r="AZ100" i="28"/>
  <c r="AV100" i="28"/>
  <c r="AR100" i="28"/>
  <c r="AN100" i="28"/>
  <c r="AJ100" i="28"/>
  <c r="AF100" i="28"/>
  <c r="Y100" i="28"/>
  <c r="I100" i="28"/>
  <c r="H100" i="28"/>
  <c r="AA100" i="28" s="1"/>
  <c r="EI99" i="28"/>
  <c r="EH99" i="28"/>
  <c r="EY99" i="28" s="1"/>
  <c r="AV99" i="28"/>
  <c r="AR99" i="28"/>
  <c r="AN99" i="28"/>
  <c r="AJ99" i="28"/>
  <c r="AF99" i="28"/>
  <c r="AA99" i="28"/>
  <c r="Y99" i="28"/>
  <c r="I99" i="28"/>
  <c r="H99" i="28"/>
  <c r="EI98" i="28"/>
  <c r="EL98" i="28" s="1"/>
  <c r="EH98" i="28"/>
  <c r="AV98" i="28"/>
  <c r="AR98" i="28"/>
  <c r="AN98" i="28"/>
  <c r="AJ98" i="28"/>
  <c r="AF98" i="28"/>
  <c r="Y98" i="28"/>
  <c r="I98" i="28"/>
  <c r="H98" i="28"/>
  <c r="AA98" i="28" s="1"/>
  <c r="EI97" i="28"/>
  <c r="EL97" i="28" s="1"/>
  <c r="EH97" i="28"/>
  <c r="AR97" i="28"/>
  <c r="AN97" i="28"/>
  <c r="AJ97" i="28"/>
  <c r="AF97" i="28"/>
  <c r="Y97" i="28"/>
  <c r="I97" i="28"/>
  <c r="H97" i="28"/>
  <c r="AA97" i="28" s="1"/>
  <c r="EI96" i="28"/>
  <c r="EH96" i="28"/>
  <c r="EY96" i="28" s="1"/>
  <c r="BH96" i="28"/>
  <c r="BH117" i="28" s="1"/>
  <c r="BD96" i="28"/>
  <c r="BD117" i="28" s="1"/>
  <c r="AZ96" i="28"/>
  <c r="AV96" i="28"/>
  <c r="AR96" i="28"/>
  <c r="AN96" i="28"/>
  <c r="AJ96" i="28"/>
  <c r="AF96" i="28"/>
  <c r="Y96" i="28"/>
  <c r="I96" i="28"/>
  <c r="H96" i="28"/>
  <c r="AA96" i="28" s="1"/>
  <c r="EI95" i="28"/>
  <c r="EL95" i="28" s="1"/>
  <c r="EH95" i="28"/>
  <c r="AV95" i="28"/>
  <c r="AR95" i="28"/>
  <c r="AN95" i="28"/>
  <c r="AJ95" i="28"/>
  <c r="AF95" i="28"/>
  <c r="Y95" i="28"/>
  <c r="I95" i="28"/>
  <c r="H95" i="28"/>
  <c r="AA95" i="28" s="1"/>
  <c r="EI94" i="28"/>
  <c r="EL94" i="28" s="1"/>
  <c r="EH94" i="28"/>
  <c r="AZ94" i="28"/>
  <c r="AV94" i="28"/>
  <c r="AR94" i="28"/>
  <c r="AN94" i="28"/>
  <c r="AJ94" i="28"/>
  <c r="AF94" i="28"/>
  <c r="Y94" i="28"/>
  <c r="I94" i="28"/>
  <c r="H94" i="28"/>
  <c r="AA94" i="28" s="1"/>
  <c r="EI93" i="28"/>
  <c r="EL93" i="28" s="1"/>
  <c r="EH93" i="28"/>
  <c r="AR93" i="28"/>
  <c r="AJ93" i="28"/>
  <c r="AF93" i="28"/>
  <c r="Y93" i="28"/>
  <c r="I93" i="28"/>
  <c r="H93" i="28"/>
  <c r="AA93" i="28" s="1"/>
  <c r="EI92" i="28"/>
  <c r="EL92" i="28" s="1"/>
  <c r="EH92" i="28"/>
  <c r="EM92" i="28" s="1"/>
  <c r="AR92" i="28"/>
  <c r="AN92" i="28"/>
  <c r="AJ92" i="28"/>
  <c r="AF92" i="28"/>
  <c r="AB92" i="28"/>
  <c r="AB117" i="28" s="1"/>
  <c r="Y92" i="28"/>
  <c r="I92" i="28"/>
  <c r="H92" i="28"/>
  <c r="AA92" i="28" s="1"/>
  <c r="EI91" i="28"/>
  <c r="EL91" i="28" s="1"/>
  <c r="EH91" i="28"/>
  <c r="EY91" i="28" s="1"/>
  <c r="AZ91" i="28"/>
  <c r="AV91" i="28"/>
  <c r="AR91" i="28"/>
  <c r="AN91" i="28"/>
  <c r="AJ91" i="28"/>
  <c r="AF91" i="28"/>
  <c r="Y91" i="28"/>
  <c r="I91" i="28"/>
  <c r="H91" i="28"/>
  <c r="AA91" i="28" s="1"/>
  <c r="EI90" i="28"/>
  <c r="EL90" i="28" s="1"/>
  <c r="EH90" i="28"/>
  <c r="AR90" i="28"/>
  <c r="AN90" i="28"/>
  <c r="AJ90" i="28"/>
  <c r="AF90" i="28"/>
  <c r="Y90" i="28"/>
  <c r="I90" i="28"/>
  <c r="H90" i="28"/>
  <c r="AA90" i="28" s="1"/>
  <c r="EI89" i="28"/>
  <c r="EL89" i="28" s="1"/>
  <c r="EH89" i="28"/>
  <c r="AR89" i="28"/>
  <c r="AN89" i="28"/>
  <c r="AJ89" i="28"/>
  <c r="AF89" i="28"/>
  <c r="Y89" i="28"/>
  <c r="I89" i="28"/>
  <c r="H89" i="28"/>
  <c r="AA89" i="28" s="1"/>
  <c r="EI88" i="28"/>
  <c r="EL88" i="28" s="1"/>
  <c r="EH88" i="28"/>
  <c r="EY88" i="28" s="1"/>
  <c r="AN88" i="28"/>
  <c r="AJ88" i="28"/>
  <c r="AF88" i="28"/>
  <c r="Y88" i="28"/>
  <c r="I88" i="28"/>
  <c r="H88" i="28"/>
  <c r="AA88" i="28" s="1"/>
  <c r="EI87" i="28"/>
  <c r="EL87" i="28" s="1"/>
  <c r="EH87" i="28"/>
  <c r="AR87" i="28"/>
  <c r="AN87" i="28"/>
  <c r="AJ87" i="28"/>
  <c r="AF87" i="28"/>
  <c r="Y87" i="28"/>
  <c r="I87" i="28"/>
  <c r="H87" i="28"/>
  <c r="AA87" i="28" s="1"/>
  <c r="FB86" i="28"/>
  <c r="EI86" i="28"/>
  <c r="EL86" i="28" s="1"/>
  <c r="EH86" i="28"/>
  <c r="EY86" i="28" s="1"/>
  <c r="AR86" i="28"/>
  <c r="AN86" i="28"/>
  <c r="AJ86" i="28"/>
  <c r="AF86" i="28"/>
  <c r="Y86" i="28"/>
  <c r="I86" i="28"/>
  <c r="H86" i="28"/>
  <c r="AA86" i="28" s="1"/>
  <c r="FB85" i="28"/>
  <c r="EI85" i="28"/>
  <c r="EL85" i="28" s="1"/>
  <c r="EH85" i="28"/>
  <c r="EM85" i="28" s="1"/>
  <c r="AV85" i="28"/>
  <c r="AR85" i="28"/>
  <c r="AN85" i="28"/>
  <c r="AJ85" i="28"/>
  <c r="AF85" i="28"/>
  <c r="Y85" i="28"/>
  <c r="I85" i="28"/>
  <c r="H85" i="28"/>
  <c r="AA85" i="28" s="1"/>
  <c r="FB84" i="28"/>
  <c r="EI84" i="28"/>
  <c r="EL84" i="28" s="1"/>
  <c r="EH84" i="28"/>
  <c r="EY84" i="28" s="1"/>
  <c r="AR84" i="28"/>
  <c r="AN84" i="28"/>
  <c r="AJ84" i="28"/>
  <c r="AF84" i="28"/>
  <c r="Y84" i="28"/>
  <c r="I84" i="28"/>
  <c r="H84" i="28"/>
  <c r="FB83" i="28"/>
  <c r="EI83" i="28"/>
  <c r="EL83" i="28" s="1"/>
  <c r="EH83" i="28"/>
  <c r="EM83" i="28" s="1"/>
  <c r="AV83" i="28"/>
  <c r="AR83" i="28"/>
  <c r="AN83" i="28"/>
  <c r="AJ83" i="28"/>
  <c r="AF83" i="28"/>
  <c r="Y83" i="28"/>
  <c r="I83" i="28"/>
  <c r="H83" i="28"/>
  <c r="AA83" i="28" s="1"/>
  <c r="FB82" i="28"/>
  <c r="EI82" i="28"/>
  <c r="EL82" i="28" s="1"/>
  <c r="EH82" i="28"/>
  <c r="EM82" i="28" s="1"/>
  <c r="AR82" i="28"/>
  <c r="AN82" i="28"/>
  <c r="AJ82" i="28"/>
  <c r="AF82" i="28"/>
  <c r="AA82" i="28"/>
  <c r="Y82" i="28"/>
  <c r="A82" i="28"/>
  <c r="FB81" i="28"/>
  <c r="EI81" i="28"/>
  <c r="EH81" i="28"/>
  <c r="EY81" i="28" s="1"/>
  <c r="BL81" i="28"/>
  <c r="BH81" i="28"/>
  <c r="BD81" i="28"/>
  <c r="AZ81" i="28"/>
  <c r="AV81" i="28"/>
  <c r="AR81" i="28"/>
  <c r="AN81" i="28"/>
  <c r="AJ81" i="28"/>
  <c r="AF81" i="28"/>
  <c r="AA81" i="28"/>
  <c r="Y81" i="28"/>
  <c r="FB80" i="28"/>
  <c r="EI80" i="28"/>
  <c r="EL80" i="28" s="1"/>
  <c r="EH80" i="28"/>
  <c r="EM80" i="28" s="1"/>
  <c r="BH80" i="28"/>
  <c r="BD80" i="28"/>
  <c r="AZ80" i="28"/>
  <c r="AV80" i="28"/>
  <c r="AR80" i="28"/>
  <c r="AN80" i="28"/>
  <c r="AJ80" i="28"/>
  <c r="AF80" i="28"/>
  <c r="AA80" i="28"/>
  <c r="Y80" i="28"/>
  <c r="FB79" i="28"/>
  <c r="EI79" i="28"/>
  <c r="EL79" i="28" s="1"/>
  <c r="EH79" i="28"/>
  <c r="AR79" i="28"/>
  <c r="AN79" i="28"/>
  <c r="AJ79" i="28"/>
  <c r="AF79" i="28"/>
  <c r="AA79" i="28"/>
  <c r="Y79" i="28"/>
  <c r="FB78" i="28"/>
  <c r="EI78" i="28"/>
  <c r="EL78" i="28" s="1"/>
  <c r="EH78" i="28"/>
  <c r="BD78" i="28"/>
  <c r="AZ78" i="28"/>
  <c r="AV78" i="28"/>
  <c r="AR78" i="28"/>
  <c r="AN78" i="28"/>
  <c r="AJ78" i="28"/>
  <c r="AF78" i="28"/>
  <c r="AA78" i="28"/>
  <c r="Y78" i="28"/>
  <c r="A78" i="28"/>
  <c r="A79" i="28" s="1"/>
  <c r="FB77" i="28"/>
  <c r="EI77" i="28"/>
  <c r="EL77" i="28" s="1"/>
  <c r="EH77" i="28"/>
  <c r="EY77" i="28" s="1"/>
  <c r="AV77" i="28"/>
  <c r="AR77" i="28"/>
  <c r="AN77" i="28"/>
  <c r="AJ77" i="28"/>
  <c r="AF77" i="28"/>
  <c r="AA77" i="28"/>
  <c r="Y77" i="28"/>
  <c r="FB76" i="28"/>
  <c r="EI76" i="28"/>
  <c r="EH76" i="28"/>
  <c r="EY76" i="28" s="1"/>
  <c r="AV76" i="28"/>
  <c r="AR76" i="28"/>
  <c r="AN76" i="28"/>
  <c r="AJ76" i="28"/>
  <c r="AF76" i="28"/>
  <c r="AA76" i="28"/>
  <c r="Y76" i="28"/>
  <c r="FB75" i="28"/>
  <c r="EI75" i="28"/>
  <c r="EL75" i="28" s="1"/>
  <c r="EH75" i="28"/>
  <c r="EY75" i="28" s="1"/>
  <c r="AR75" i="28"/>
  <c r="AN75" i="28"/>
  <c r="AJ75" i="28"/>
  <c r="AF75" i="28"/>
  <c r="AA75" i="28"/>
  <c r="Y75" i="28"/>
  <c r="FB74" i="28"/>
  <c r="EI74" i="28"/>
  <c r="EL74" i="28" s="1"/>
  <c r="EH74" i="28"/>
  <c r="EM74" i="28" s="1"/>
  <c r="AV74" i="28"/>
  <c r="AR74" i="28"/>
  <c r="AN74" i="28"/>
  <c r="AJ74" i="28"/>
  <c r="AF74" i="28"/>
  <c r="AA74" i="28"/>
  <c r="Y74" i="28"/>
  <c r="EI73" i="28"/>
  <c r="EH73" i="28"/>
  <c r="EY73" i="28" s="1"/>
  <c r="AV73" i="28"/>
  <c r="AR73" i="28"/>
  <c r="AN73" i="28"/>
  <c r="AJ73" i="28"/>
  <c r="AF73" i="28"/>
  <c r="Y73" i="28"/>
  <c r="H73" i="28"/>
  <c r="AA73" i="28" s="1"/>
  <c r="FB72" i="28"/>
  <c r="EI72" i="28"/>
  <c r="EL72" i="28" s="1"/>
  <c r="EH72" i="28"/>
  <c r="EM72" i="28" s="1"/>
  <c r="AV72" i="28"/>
  <c r="AR72" i="28"/>
  <c r="AN72" i="28"/>
  <c r="AJ72" i="28"/>
  <c r="AF72" i="28"/>
  <c r="Y72" i="28"/>
  <c r="H72" i="28"/>
  <c r="AA72" i="28" s="1"/>
  <c r="FB71" i="28"/>
  <c r="EI71" i="28"/>
  <c r="EL71" i="28" s="1"/>
  <c r="EH71" i="28"/>
  <c r="AV71" i="28"/>
  <c r="AR71" i="28"/>
  <c r="AN71" i="28"/>
  <c r="AJ71" i="28"/>
  <c r="AF71" i="28"/>
  <c r="Y71" i="28"/>
  <c r="H71" i="28"/>
  <c r="AA71" i="28" s="1"/>
  <c r="FB70" i="28"/>
  <c r="EI70" i="28"/>
  <c r="EL70" i="28" s="1"/>
  <c r="EH70" i="28"/>
  <c r="EM70" i="28" s="1"/>
  <c r="AV70" i="28"/>
  <c r="AR70" i="28"/>
  <c r="AN70" i="28"/>
  <c r="AJ70" i="28"/>
  <c r="AF70" i="28"/>
  <c r="Y70" i="28"/>
  <c r="H70" i="28"/>
  <c r="AA70" i="28" s="1"/>
  <c r="FB69" i="28"/>
  <c r="EI69" i="28"/>
  <c r="EH69" i="28"/>
  <c r="EY69" i="28" s="1"/>
  <c r="BL69" i="28"/>
  <c r="BH69" i="28"/>
  <c r="BD69" i="28"/>
  <c r="AZ69" i="28"/>
  <c r="AV69" i="28"/>
  <c r="AR69" i="28"/>
  <c r="AN69" i="28"/>
  <c r="AJ69" i="28"/>
  <c r="AF69" i="28"/>
  <c r="Y69" i="28"/>
  <c r="H69" i="28"/>
  <c r="AA69" i="28" s="1"/>
  <c r="FB68" i="28"/>
  <c r="EI68" i="28"/>
  <c r="EL68" i="28" s="1"/>
  <c r="EH68" i="28"/>
  <c r="AZ68" i="28"/>
  <c r="AV68" i="28"/>
  <c r="AR68" i="28"/>
  <c r="AN68" i="28"/>
  <c r="AJ68" i="28"/>
  <c r="AF68" i="28"/>
  <c r="Y68" i="28"/>
  <c r="H68" i="28"/>
  <c r="AA68" i="28" s="1"/>
  <c r="FB67" i="28"/>
  <c r="EI67" i="28"/>
  <c r="EL67" i="28" s="1"/>
  <c r="EH67" i="28"/>
  <c r="EM67" i="28" s="1"/>
  <c r="AR67" i="28"/>
  <c r="AN67" i="28"/>
  <c r="AJ67" i="28"/>
  <c r="AF67" i="28"/>
  <c r="Y67" i="28"/>
  <c r="H67" i="28"/>
  <c r="AA67" i="28" s="1"/>
  <c r="FB66" i="28"/>
  <c r="EI66" i="28"/>
  <c r="EL66" i="28" s="1"/>
  <c r="EH66" i="28"/>
  <c r="EM66" i="28" s="1"/>
  <c r="BD66" i="28"/>
  <c r="AZ66" i="28"/>
  <c r="AV66" i="28"/>
  <c r="AR66" i="28"/>
  <c r="AN66" i="28"/>
  <c r="AJ66" i="28"/>
  <c r="AF66" i="28"/>
  <c r="Y66" i="28"/>
  <c r="H66" i="28"/>
  <c r="AA66" i="28" s="1"/>
  <c r="FB65" i="28"/>
  <c r="EI65" i="28"/>
  <c r="EL65" i="28" s="1"/>
  <c r="EH65" i="28"/>
  <c r="EY65" i="28" s="1"/>
  <c r="AR65" i="28"/>
  <c r="AN65" i="28"/>
  <c r="AJ65" i="28"/>
  <c r="AF65" i="28"/>
  <c r="Y65" i="28"/>
  <c r="H65" i="28"/>
  <c r="AA65" i="28" s="1"/>
  <c r="FB64" i="28"/>
  <c r="EI64" i="28"/>
  <c r="EH64" i="28"/>
  <c r="EY64" i="28" s="1"/>
  <c r="AN64" i="28"/>
  <c r="AJ64" i="28"/>
  <c r="AF64" i="28"/>
  <c r="Y64" i="28"/>
  <c r="H64" i="28"/>
  <c r="AA64" i="28" s="1"/>
  <c r="FB63" i="28"/>
  <c r="EI63" i="28"/>
  <c r="EH63" i="28"/>
  <c r="EM63" i="28" s="1"/>
  <c r="AR63" i="28"/>
  <c r="AN63" i="28"/>
  <c r="AJ63" i="28"/>
  <c r="AF63" i="28"/>
  <c r="Y63" i="28"/>
  <c r="H63" i="28"/>
  <c r="AA63" i="28" s="1"/>
  <c r="FB62" i="28"/>
  <c r="EI62" i="28"/>
  <c r="EL62" i="28" s="1"/>
  <c r="EH62" i="28"/>
  <c r="EM62" i="28" s="1"/>
  <c r="BH62" i="28"/>
  <c r="BD62" i="28"/>
  <c r="AZ62" i="28"/>
  <c r="AV62" i="28"/>
  <c r="AR62" i="28"/>
  <c r="AN62" i="28"/>
  <c r="AJ62" i="28"/>
  <c r="AF62" i="28"/>
  <c r="Y62" i="28"/>
  <c r="H62" i="28"/>
  <c r="AA62" i="28" s="1"/>
  <c r="FB61" i="28"/>
  <c r="EI61" i="28"/>
  <c r="EL61" i="28" s="1"/>
  <c r="EH61" i="28"/>
  <c r="EM61" i="28" s="1"/>
  <c r="BP61" i="28"/>
  <c r="BL61" i="28"/>
  <c r="BH61" i="28"/>
  <c r="BD61" i="28"/>
  <c r="AZ61" i="28"/>
  <c r="AV61" i="28"/>
  <c r="AR61" i="28"/>
  <c r="AN61" i="28"/>
  <c r="AJ61" i="28"/>
  <c r="AF61" i="28"/>
  <c r="Y61" i="28"/>
  <c r="H61" i="28"/>
  <c r="AA61" i="28" s="1"/>
  <c r="FB60" i="28"/>
  <c r="EI60" i="28"/>
  <c r="EL60" i="28" s="1"/>
  <c r="EH60" i="28"/>
  <c r="EM60" i="28" s="1"/>
  <c r="BH60" i="28"/>
  <c r="BD60" i="28"/>
  <c r="AZ60" i="28"/>
  <c r="AV60" i="28"/>
  <c r="AR60" i="28"/>
  <c r="AN60" i="28"/>
  <c r="AJ60" i="28"/>
  <c r="AF60" i="28"/>
  <c r="Y60" i="28"/>
  <c r="H60" i="28"/>
  <c r="AA60" i="28" s="1"/>
  <c r="FB59" i="28"/>
  <c r="EI59" i="28"/>
  <c r="EL59" i="28" s="1"/>
  <c r="EH59" i="28"/>
  <c r="EM59" i="28" s="1"/>
  <c r="CZ59" i="28"/>
  <c r="CZ116" i="28" s="1"/>
  <c r="CV59" i="28"/>
  <c r="CV6" i="28" s="1"/>
  <c r="CR59" i="28"/>
  <c r="CV116" i="28" s="1"/>
  <c r="CN59" i="28"/>
  <c r="CN116" i="28" s="1"/>
  <c r="CJ59" i="28"/>
  <c r="CJ116" i="28" s="1"/>
  <c r="CF59" i="28"/>
  <c r="CF116" i="28" s="1"/>
  <c r="CB59" i="28"/>
  <c r="CB116" i="28" s="1"/>
  <c r="BX59" i="28"/>
  <c r="BX116" i="28" s="1"/>
  <c r="BT59" i="28"/>
  <c r="BT116" i="28" s="1"/>
  <c r="BP59" i="28"/>
  <c r="BL59" i="28"/>
  <c r="BH59" i="28"/>
  <c r="BD59" i="28"/>
  <c r="AZ59" i="28"/>
  <c r="AV59" i="28"/>
  <c r="AR59" i="28"/>
  <c r="AN59" i="28"/>
  <c r="AJ59" i="28"/>
  <c r="AF59" i="28"/>
  <c r="X59" i="28"/>
  <c r="Y59" i="28" s="1"/>
  <c r="H59" i="28"/>
  <c r="AA59" i="28" s="1"/>
  <c r="FB58" i="28"/>
  <c r="EI58" i="28"/>
  <c r="EL58" i="28" s="1"/>
  <c r="EH58" i="28"/>
  <c r="EM58" i="28" s="1"/>
  <c r="AV58" i="28"/>
  <c r="AR58" i="28"/>
  <c r="AN58" i="28"/>
  <c r="AJ58" i="28"/>
  <c r="AF58" i="28"/>
  <c r="Y58" i="28"/>
  <c r="H58" i="28"/>
  <c r="AA58" i="28" s="1"/>
  <c r="FB57" i="28"/>
  <c r="EI57" i="28"/>
  <c r="EL57" i="28" s="1"/>
  <c r="EH57" i="28"/>
  <c r="EY57" i="28" s="1"/>
  <c r="AR57" i="28"/>
  <c r="AN57" i="28"/>
  <c r="AJ57" i="28"/>
  <c r="AF57" i="28"/>
  <c r="Y57" i="28"/>
  <c r="H57" i="28"/>
  <c r="AA57" i="28" s="1"/>
  <c r="FB56" i="28"/>
  <c r="EI56" i="28"/>
  <c r="EL56" i="28" s="1"/>
  <c r="EH56" i="28"/>
  <c r="EY56" i="28" s="1"/>
  <c r="AR56" i="28"/>
  <c r="AN56" i="28"/>
  <c r="AJ56" i="28"/>
  <c r="AF56" i="28"/>
  <c r="Y56" i="28"/>
  <c r="H56" i="28"/>
  <c r="AA56" i="28" s="1"/>
  <c r="FB55" i="28"/>
  <c r="EI55" i="28"/>
  <c r="EL55" i="28" s="1"/>
  <c r="EH55" i="28"/>
  <c r="EY55" i="28" s="1"/>
  <c r="BD55" i="28"/>
  <c r="AZ55" i="28"/>
  <c r="AV55" i="28"/>
  <c r="AN55" i="28"/>
  <c r="AJ55" i="28"/>
  <c r="AF55" i="28"/>
  <c r="Y55" i="28"/>
  <c r="H55" i="28"/>
  <c r="AA55" i="28" s="1"/>
  <c r="FB54" i="28"/>
  <c r="EI54" i="28"/>
  <c r="EL54" i="28" s="1"/>
  <c r="EH54" i="28"/>
  <c r="EY54" i="28" s="1"/>
  <c r="BD54" i="28"/>
  <c r="AZ54" i="28"/>
  <c r="AV54" i="28"/>
  <c r="AR54" i="28"/>
  <c r="AN54" i="28"/>
  <c r="AJ54" i="28"/>
  <c r="AF54" i="28"/>
  <c r="Y54" i="28"/>
  <c r="H54" i="28"/>
  <c r="AA54" i="28" s="1"/>
  <c r="FB53" i="28"/>
  <c r="EI53" i="28"/>
  <c r="EL53" i="28" s="1"/>
  <c r="EH53" i="28"/>
  <c r="EY53" i="28" s="1"/>
  <c r="BP53" i="28"/>
  <c r="BL53" i="28"/>
  <c r="BH53" i="28"/>
  <c r="BD53" i="28"/>
  <c r="AZ53" i="28"/>
  <c r="AV53" i="28"/>
  <c r="AR53" i="28"/>
  <c r="AN53" i="28"/>
  <c r="AJ53" i="28"/>
  <c r="AF53" i="28"/>
  <c r="Y53" i="28"/>
  <c r="H53" i="28"/>
  <c r="AA53" i="28" s="1"/>
  <c r="FB52" i="28"/>
  <c r="EI52" i="28"/>
  <c r="EL52" i="28" s="1"/>
  <c r="EH52" i="28"/>
  <c r="EY52" i="28" s="1"/>
  <c r="AR52" i="28"/>
  <c r="AN52" i="28"/>
  <c r="AJ52" i="28"/>
  <c r="AF52" i="28"/>
  <c r="Y52" i="28"/>
  <c r="H52" i="28"/>
  <c r="AA52" i="28" s="1"/>
  <c r="FB51" i="28"/>
  <c r="EI51" i="28"/>
  <c r="EL51" i="28" s="1"/>
  <c r="EH51" i="28"/>
  <c r="EY51" i="28" s="1"/>
  <c r="AN51" i="28"/>
  <c r="AJ51" i="28"/>
  <c r="AF51" i="28"/>
  <c r="Y51" i="28"/>
  <c r="H51" i="28"/>
  <c r="AA51" i="28" s="1"/>
  <c r="FB50" i="28"/>
  <c r="EI50" i="28"/>
  <c r="EL50" i="28" s="1"/>
  <c r="EH50" i="28"/>
  <c r="EY50" i="28" s="1"/>
  <c r="BH50" i="28"/>
  <c r="BD50" i="28"/>
  <c r="AZ50" i="28"/>
  <c r="AV50" i="28"/>
  <c r="AR50" i="28"/>
  <c r="AN50" i="28"/>
  <c r="AJ50" i="28"/>
  <c r="AF50" i="28"/>
  <c r="Y50" i="28"/>
  <c r="H50" i="28"/>
  <c r="AA50" i="28" s="1"/>
  <c r="FB49" i="28"/>
  <c r="EI49" i="28"/>
  <c r="EL49" i="28" s="1"/>
  <c r="EH49" i="28"/>
  <c r="EY49" i="28" s="1"/>
  <c r="AZ49" i="28"/>
  <c r="AV49" i="28"/>
  <c r="AR49" i="28"/>
  <c r="AN49" i="28"/>
  <c r="AJ49" i="28"/>
  <c r="AF49" i="28"/>
  <c r="Y49" i="28"/>
  <c r="H49" i="28"/>
  <c r="AA49" i="28" s="1"/>
  <c r="FB48" i="28"/>
  <c r="EI48" i="28"/>
  <c r="EL48" i="28" s="1"/>
  <c r="EH48" i="28"/>
  <c r="EY48" i="28" s="1"/>
  <c r="AN48" i="28"/>
  <c r="AJ48" i="28"/>
  <c r="AF48" i="28"/>
  <c r="AA48" i="28"/>
  <c r="Y48" i="28"/>
  <c r="FB47" i="28"/>
  <c r="EI47" i="28"/>
  <c r="EL47" i="28" s="1"/>
  <c r="EH47" i="28"/>
  <c r="EY47" i="28" s="1"/>
  <c r="AN47" i="28"/>
  <c r="AJ47" i="28"/>
  <c r="AF47" i="28"/>
  <c r="AA47" i="28"/>
  <c r="Y47" i="28"/>
  <c r="FB46" i="28"/>
  <c r="EI46" i="28"/>
  <c r="EL46" i="28" s="1"/>
  <c r="EH46" i="28"/>
  <c r="EM46" i="28" s="1"/>
  <c r="AN46" i="28"/>
  <c r="AJ46" i="28"/>
  <c r="AF46" i="28"/>
  <c r="AA46" i="28"/>
  <c r="Y46" i="28"/>
  <c r="FB45" i="28"/>
  <c r="EI45" i="28"/>
  <c r="EL45" i="28" s="1"/>
  <c r="EH45" i="28"/>
  <c r="AN45" i="28"/>
  <c r="AJ45" i="28"/>
  <c r="AF45" i="28"/>
  <c r="Y45" i="28"/>
  <c r="H45" i="28"/>
  <c r="AA45" i="28" s="1"/>
  <c r="FB44" i="28"/>
  <c r="EI44" i="28"/>
  <c r="EL44" i="28" s="1"/>
  <c r="EH44" i="28"/>
  <c r="EY44" i="28" s="1"/>
  <c r="AN44" i="28"/>
  <c r="AJ44" i="28"/>
  <c r="AF44" i="28"/>
  <c r="AA44" i="28"/>
  <c r="Y44" i="28"/>
  <c r="FB43" i="28"/>
  <c r="EI43" i="28"/>
  <c r="EL43" i="28" s="1"/>
  <c r="EH43" i="28"/>
  <c r="EY43" i="28" s="1"/>
  <c r="AV43" i="28"/>
  <c r="AN43" i="28"/>
  <c r="AJ43" i="28"/>
  <c r="AF43" i="28"/>
  <c r="Y43" i="28"/>
  <c r="I43" i="28"/>
  <c r="H43" i="28"/>
  <c r="AA43" i="28" s="1"/>
  <c r="FB42" i="28"/>
  <c r="EI42" i="28"/>
  <c r="EL42" i="28" s="1"/>
  <c r="EH42" i="28"/>
  <c r="BT42" i="28"/>
  <c r="BT115" i="28" s="1"/>
  <c r="BP42" i="28"/>
  <c r="BL42" i="28"/>
  <c r="BH42" i="28"/>
  <c r="BD42" i="28"/>
  <c r="AZ42" i="28"/>
  <c r="AV42" i="28"/>
  <c r="AR42" i="28"/>
  <c r="AN42" i="28"/>
  <c r="AJ42" i="28"/>
  <c r="AF42" i="28"/>
  <c r="I42" i="28"/>
  <c r="H42" i="28"/>
  <c r="AA42" i="28" s="1"/>
  <c r="FB41" i="28"/>
  <c r="EI41" i="28"/>
  <c r="EL41" i="28" s="1"/>
  <c r="EH41" i="28"/>
  <c r="EM41" i="28" s="1"/>
  <c r="AZ41" i="28"/>
  <c r="AV41" i="28"/>
  <c r="AR41" i="28"/>
  <c r="AN41" i="28"/>
  <c r="AJ41" i="28"/>
  <c r="AF41" i="28"/>
  <c r="X41" i="28"/>
  <c r="Y41" i="28" s="1"/>
  <c r="I41" i="28"/>
  <c r="H41" i="28"/>
  <c r="AA41" i="28" s="1"/>
  <c r="FB40" i="28"/>
  <c r="EI40" i="28"/>
  <c r="EL40" i="28" s="1"/>
  <c r="EH40" i="28"/>
  <c r="BP40" i="28"/>
  <c r="BL40" i="28"/>
  <c r="BH40" i="28"/>
  <c r="BD40" i="28"/>
  <c r="AZ40" i="28"/>
  <c r="AV40" i="28"/>
  <c r="AR40" i="28"/>
  <c r="AN40" i="28"/>
  <c r="AJ40" i="28"/>
  <c r="AF40" i="28"/>
  <c r="I40" i="28"/>
  <c r="H40" i="28"/>
  <c r="AA40" i="28" s="1"/>
  <c r="FB39" i="28"/>
  <c r="EI39" i="28"/>
  <c r="EL39" i="28" s="1"/>
  <c r="EH39" i="28"/>
  <c r="EM39" i="28" s="1"/>
  <c r="BP39" i="28"/>
  <c r="BL39" i="28"/>
  <c r="BH39" i="28"/>
  <c r="BD39" i="28"/>
  <c r="AZ39" i="28"/>
  <c r="AV39" i="28"/>
  <c r="AR39" i="28"/>
  <c r="AN39" i="28"/>
  <c r="AJ39" i="28"/>
  <c r="AF39" i="28"/>
  <c r="Y39" i="28"/>
  <c r="I39" i="28"/>
  <c r="H39" i="28"/>
  <c r="EJ38" i="28"/>
  <c r="EI38" i="28"/>
  <c r="EL38" i="28" s="1"/>
  <c r="EH38" i="28"/>
  <c r="EY38" i="28" s="1"/>
  <c r="AA38" i="28"/>
  <c r="EI37" i="28"/>
  <c r="EL37" i="28" s="1"/>
  <c r="EH37" i="28"/>
  <c r="EM37" i="28" s="1"/>
  <c r="BH37" i="28"/>
  <c r="BD37" i="28"/>
  <c r="AZ37" i="28"/>
  <c r="AV37" i="28"/>
  <c r="AR37" i="28"/>
  <c r="AN37" i="28"/>
  <c r="AJ37" i="28"/>
  <c r="AF37" i="28"/>
  <c r="Y37" i="28"/>
  <c r="I37" i="28"/>
  <c r="H37" i="28"/>
  <c r="AA37" i="28" s="1"/>
  <c r="AC36" i="28"/>
  <c r="AB36" i="28"/>
  <c r="FB36" i="28" s="1"/>
  <c r="Z36" i="28"/>
  <c r="EZ36" i="28" s="1"/>
  <c r="EI35" i="28"/>
  <c r="EH35" i="28"/>
  <c r="AR35" i="28"/>
  <c r="AN35" i="28"/>
  <c r="AJ35" i="28"/>
  <c r="AF35" i="28"/>
  <c r="AA35" i="28"/>
  <c r="Y35" i="28"/>
  <c r="EI34" i="28"/>
  <c r="EH34" i="28"/>
  <c r="EY34" i="28" s="1"/>
  <c r="AF34" i="28"/>
  <c r="EJ34" i="28" s="1"/>
  <c r="AA34" i="28"/>
  <c r="Y34" i="28"/>
  <c r="EI33" i="28"/>
  <c r="EL33" i="28" s="1"/>
  <c r="EH33" i="28"/>
  <c r="BD33" i="28"/>
  <c r="AV33" i="28"/>
  <c r="AR33" i="28"/>
  <c r="AN33" i="28"/>
  <c r="AJ33" i="28"/>
  <c r="AF33" i="28"/>
  <c r="AA33" i="28"/>
  <c r="X33" i="28"/>
  <c r="Y33" i="28" s="1"/>
  <c r="AC32" i="28"/>
  <c r="AB32" i="28"/>
  <c r="FB32" i="28" s="1"/>
  <c r="Z32" i="28"/>
  <c r="EZ32" i="28" s="1"/>
  <c r="EI31" i="28"/>
  <c r="EH31" i="28"/>
  <c r="EY31" i="28" s="1"/>
  <c r="AN31" i="28"/>
  <c r="AJ31" i="28"/>
  <c r="AF31" i="28"/>
  <c r="AA31" i="28"/>
  <c r="X31" i="28"/>
  <c r="Y31" i="28" s="1"/>
  <c r="EI30" i="28"/>
  <c r="EH30" i="28"/>
  <c r="EY30" i="28" s="1"/>
  <c r="AV30" i="28"/>
  <c r="AR30" i="28"/>
  <c r="AN30" i="28"/>
  <c r="AJ30" i="28"/>
  <c r="AF30" i="28"/>
  <c r="AA30" i="28"/>
  <c r="Y30" i="28"/>
  <c r="EI29" i="28"/>
  <c r="EL29" i="28" s="1"/>
  <c r="EH29" i="28"/>
  <c r="AZ29" i="28"/>
  <c r="AV29" i="28"/>
  <c r="AR29" i="28"/>
  <c r="AN29" i="28"/>
  <c r="AJ29" i="28"/>
  <c r="AF29" i="28"/>
  <c r="AA29" i="28"/>
  <c r="X29" i="28"/>
  <c r="Y29" i="28" s="1"/>
  <c r="EI28" i="28"/>
  <c r="EH28" i="28"/>
  <c r="EY28" i="28" s="1"/>
  <c r="AN28" i="28"/>
  <c r="AJ28" i="28"/>
  <c r="AF28" i="28"/>
  <c r="AA28" i="28"/>
  <c r="Y28" i="28"/>
  <c r="AC27" i="28"/>
  <c r="AB27" i="28"/>
  <c r="FB27" i="28" s="1"/>
  <c r="Z27" i="28"/>
  <c r="EZ27" i="28" s="1"/>
  <c r="I27" i="28"/>
  <c r="H27" i="28"/>
  <c r="EI26" i="28"/>
  <c r="EL26" i="28" s="1"/>
  <c r="EH26" i="28"/>
  <c r="EY26" i="28" s="1"/>
  <c r="BT26" i="28"/>
  <c r="BP26" i="28"/>
  <c r="BL26" i="28"/>
  <c r="BH26" i="28"/>
  <c r="BD26" i="28"/>
  <c r="AZ26" i="28"/>
  <c r="AV26" i="28"/>
  <c r="AR26" i="28"/>
  <c r="AN26" i="28"/>
  <c r="AJ26" i="28"/>
  <c r="AF26" i="28"/>
  <c r="AA26" i="28"/>
  <c r="Y26" i="28"/>
  <c r="EJ25" i="28"/>
  <c r="EI25" i="28"/>
  <c r="EL25" i="28" s="1"/>
  <c r="EH25" i="28"/>
  <c r="EY25" i="28" s="1"/>
  <c r="AA25" i="28"/>
  <c r="Y25" i="28"/>
  <c r="EJ24" i="28"/>
  <c r="EI24" i="28"/>
  <c r="EH24" i="28"/>
  <c r="AA24" i="28"/>
  <c r="Y24" i="28"/>
  <c r="AC23" i="28"/>
  <c r="AB23" i="28"/>
  <c r="FB23" i="28" s="1"/>
  <c r="Z23" i="28"/>
  <c r="EZ23" i="28" s="1"/>
  <c r="EI22" i="28"/>
  <c r="EL22" i="28" s="1"/>
  <c r="EH22" i="28"/>
  <c r="AR22" i="28"/>
  <c r="AN22" i="28"/>
  <c r="AJ22" i="28"/>
  <c r="AF22" i="28"/>
  <c r="AA22" i="28"/>
  <c r="Y22" i="28"/>
  <c r="EJ21" i="28"/>
  <c r="EI21" i="28"/>
  <c r="EH21" i="28"/>
  <c r="EM21" i="28" s="1"/>
  <c r="AA21" i="28"/>
  <c r="Y21" i="28"/>
  <c r="AC20" i="28"/>
  <c r="AB20" i="28"/>
  <c r="Z20" i="28"/>
  <c r="EZ20" i="28" s="1"/>
  <c r="I20" i="28"/>
  <c r="H20" i="28"/>
  <c r="EJ19" i="28"/>
  <c r="EI19" i="28"/>
  <c r="EL19" i="28" s="1"/>
  <c r="EH19" i="28"/>
  <c r="AA19" i="28"/>
  <c r="Y19" i="28"/>
  <c r="EI18" i="28"/>
  <c r="EL18" i="28" s="1"/>
  <c r="EH18" i="28"/>
  <c r="EY18" i="28" s="1"/>
  <c r="BH18" i="28"/>
  <c r="BD18" i="28"/>
  <c r="AZ18" i="28"/>
  <c r="AV18" i="28"/>
  <c r="AR18" i="28"/>
  <c r="AN18" i="28"/>
  <c r="AJ18" i="28"/>
  <c r="AF18" i="28"/>
  <c r="AA18" i="28"/>
  <c r="Y18" i="28"/>
  <c r="EI17" i="28"/>
  <c r="EL17" i="28" s="1"/>
  <c r="EH17" i="28"/>
  <c r="BP17" i="28"/>
  <c r="BL17" i="28"/>
  <c r="BH17" i="28"/>
  <c r="BD17" i="28"/>
  <c r="AZ17" i="28"/>
  <c r="AV17" i="28"/>
  <c r="AR17" i="28"/>
  <c r="AN17" i="28"/>
  <c r="AJ17" i="28"/>
  <c r="AF17" i="28"/>
  <c r="AA17" i="28"/>
  <c r="X17" i="28"/>
  <c r="Y17" i="28" s="1"/>
  <c r="EI16" i="28"/>
  <c r="EH16" i="28"/>
  <c r="EY16" i="28" s="1"/>
  <c r="BX16" i="28"/>
  <c r="BT16" i="28"/>
  <c r="BP16" i="28"/>
  <c r="BL16" i="28"/>
  <c r="BH16" i="28"/>
  <c r="BD16" i="28"/>
  <c r="AZ16" i="28"/>
  <c r="AV16" i="28"/>
  <c r="AR16" i="28"/>
  <c r="AN16" i="28"/>
  <c r="AJ16" i="28"/>
  <c r="AF16" i="28"/>
  <c r="AA16" i="28"/>
  <c r="X16" i="28"/>
  <c r="FA20" i="28" s="1"/>
  <c r="Z15" i="28"/>
  <c r="EZ15" i="28" s="1"/>
  <c r="EH14" i="28"/>
  <c r="FC14" i="28" s="1"/>
  <c r="CR14" i="28"/>
  <c r="CN14" i="28"/>
  <c r="CN6" i="28" s="1"/>
  <c r="CJ14" i="28"/>
  <c r="CJ6" i="28" s="1"/>
  <c r="CF14" i="28"/>
  <c r="CB14" i="28"/>
  <c r="CB6" i="28" s="1"/>
  <c r="BX14" i="28"/>
  <c r="BT14" i="28"/>
  <c r="BP14" i="28"/>
  <c r="BL14" i="28"/>
  <c r="BH14" i="28"/>
  <c r="BD14" i="28"/>
  <c r="AZ14" i="28"/>
  <c r="AV14" i="28"/>
  <c r="AR14" i="28"/>
  <c r="AA14" i="28"/>
  <c r="X14" i="28"/>
  <c r="Y14" i="28" s="1"/>
  <c r="EH13" i="28"/>
  <c r="FC13" i="28" s="1"/>
  <c r="BP13" i="28"/>
  <c r="BL13" i="28"/>
  <c r="BH13" i="28"/>
  <c r="BD13" i="28"/>
  <c r="AZ13" i="28"/>
  <c r="AV13" i="28"/>
  <c r="AR13" i="28"/>
  <c r="AN13" i="28"/>
  <c r="AJ13" i="28"/>
  <c r="AA13" i="28"/>
  <c r="X13" i="28"/>
  <c r="Y13" i="28" s="1"/>
  <c r="EI12" i="28"/>
  <c r="EL12" i="28" s="1"/>
  <c r="EH12" i="28"/>
  <c r="AN12" i="28"/>
  <c r="AJ12" i="28"/>
  <c r="AF12" i="28"/>
  <c r="AA12" i="28"/>
  <c r="Y12" i="28"/>
  <c r="FB11" i="28"/>
  <c r="EI11" i="28"/>
  <c r="EL11" i="28" s="1"/>
  <c r="EH11" i="28"/>
  <c r="EM11" i="28" s="1"/>
  <c r="AN11" i="28"/>
  <c r="AJ11" i="28"/>
  <c r="AF11" i="28"/>
  <c r="Y11" i="28"/>
  <c r="I11" i="28"/>
  <c r="H11" i="28"/>
  <c r="FB10" i="28"/>
  <c r="EI10" i="28"/>
  <c r="EL10" i="28" s="1"/>
  <c r="EH10" i="28"/>
  <c r="BX10" i="28"/>
  <c r="BX114" i="28" s="1"/>
  <c r="BT10" i="28"/>
  <c r="BT114" i="28" s="1"/>
  <c r="BP10" i="28"/>
  <c r="BP114" i="28" s="1"/>
  <c r="BL10" i="28"/>
  <c r="BH10" i="28"/>
  <c r="BD10" i="28"/>
  <c r="AZ10" i="28"/>
  <c r="AV10" i="28"/>
  <c r="AR10" i="28"/>
  <c r="AN10" i="28"/>
  <c r="AJ10" i="28"/>
  <c r="AF10" i="28"/>
  <c r="AA10" i="28"/>
  <c r="Y10" i="28"/>
  <c r="A10" i="28"/>
  <c r="A11" i="28" s="1"/>
  <c r="A39" i="28" s="1"/>
  <c r="FB9" i="28"/>
  <c r="EI9" i="28"/>
  <c r="EL9" i="28" s="1"/>
  <c r="EH9" i="28"/>
  <c r="EY9" i="28" s="1"/>
  <c r="AV9" i="28"/>
  <c r="AR9" i="28"/>
  <c r="AN9" i="28"/>
  <c r="AJ9" i="28"/>
  <c r="AF9" i="28"/>
  <c r="AA9" i="28"/>
  <c r="Y9" i="28"/>
  <c r="FB8" i="28"/>
  <c r="EI8" i="28"/>
  <c r="EL8" i="28" s="1"/>
  <c r="EH8" i="28"/>
  <c r="AV8" i="28"/>
  <c r="AR8" i="28"/>
  <c r="AN8" i="28"/>
  <c r="AJ8" i="28"/>
  <c r="AF8" i="28"/>
  <c r="Z8" i="28"/>
  <c r="Y8" i="28"/>
  <c r="A8" i="28"/>
  <c r="FB7" i="28"/>
  <c r="EI7" i="28"/>
  <c r="EL7" i="28" s="1"/>
  <c r="EH7" i="28"/>
  <c r="AR7" i="28"/>
  <c r="AN7" i="28"/>
  <c r="AJ7" i="28"/>
  <c r="AF7" i="28"/>
  <c r="AA7" i="28"/>
  <c r="Y7" i="28"/>
  <c r="FJ6" i="28"/>
  <c r="FI6" i="28"/>
  <c r="FH6" i="28"/>
  <c r="FG6" i="28"/>
  <c r="FF6" i="28"/>
  <c r="FE6" i="28"/>
  <c r="FD6" i="28"/>
  <c r="EW6" i="28"/>
  <c r="EV6" i="28"/>
  <c r="EU6" i="28"/>
  <c r="ET6" i="28"/>
  <c r="ES6" i="28"/>
  <c r="ER6" i="28"/>
  <c r="EQ6" i="28"/>
  <c r="EP6" i="28"/>
  <c r="EG6" i="28"/>
  <c r="EF6" i="28"/>
  <c r="EE6" i="28"/>
  <c r="ED6" i="28"/>
  <c r="EC6" i="28"/>
  <c r="EB6" i="28"/>
  <c r="EA6" i="28"/>
  <c r="DZ6" i="28"/>
  <c r="DY6" i="28"/>
  <c r="DX6" i="28"/>
  <c r="DW6" i="28"/>
  <c r="DV6" i="28"/>
  <c r="DU6" i="28"/>
  <c r="DT6" i="28"/>
  <c r="DS6" i="28"/>
  <c r="DR6" i="28"/>
  <c r="DQ6" i="28"/>
  <c r="DP6" i="28"/>
  <c r="DO6" i="28"/>
  <c r="DN6" i="28"/>
  <c r="DM6" i="28"/>
  <c r="DL6" i="28"/>
  <c r="DK6" i="28"/>
  <c r="DJ6" i="28"/>
  <c r="DI6" i="28"/>
  <c r="DH6" i="28"/>
  <c r="DG6" i="28"/>
  <c r="DF6" i="28"/>
  <c r="DE6" i="28"/>
  <c r="DD6" i="28"/>
  <c r="DC6" i="28"/>
  <c r="DB6" i="28"/>
  <c r="DA6" i="28"/>
  <c r="CZ6" i="28"/>
  <c r="CY6" i="28"/>
  <c r="CX6" i="28"/>
  <c r="CU6" i="28"/>
  <c r="CT6" i="28"/>
  <c r="CR6" i="28"/>
  <c r="CQ6" i="28"/>
  <c r="CP6" i="28"/>
  <c r="CM6" i="28"/>
  <c r="CL6" i="28"/>
  <c r="CI6" i="28"/>
  <c r="CH6" i="28"/>
  <c r="CF6" i="28"/>
  <c r="CE6" i="28"/>
  <c r="CD6" i="28"/>
  <c r="CA6" i="28"/>
  <c r="BZ6" i="28"/>
  <c r="BW6" i="28"/>
  <c r="BV6" i="28"/>
  <c r="BS6" i="28"/>
  <c r="BR6" i="28"/>
  <c r="BQ6" i="28"/>
  <c r="BO6" i="28"/>
  <c r="BN6" i="28"/>
  <c r="BM6" i="28"/>
  <c r="BK6" i="28"/>
  <c r="BJ6" i="28"/>
  <c r="BI6" i="28"/>
  <c r="BG6" i="28"/>
  <c r="BF6" i="28"/>
  <c r="BE6" i="28"/>
  <c r="BC6" i="28"/>
  <c r="BB6" i="28"/>
  <c r="BA6" i="28"/>
  <c r="AY6" i="28"/>
  <c r="AX6" i="28"/>
  <c r="AW6" i="28"/>
  <c r="AU6" i="28"/>
  <c r="AT6" i="28"/>
  <c r="AS6" i="28"/>
  <c r="AQ6" i="28"/>
  <c r="AP6" i="28"/>
  <c r="AO6" i="28"/>
  <c r="AM6" i="28"/>
  <c r="AL6" i="28"/>
  <c r="AK6" i="28"/>
  <c r="AI6" i="28"/>
  <c r="AH6" i="28"/>
  <c r="AG6" i="28"/>
  <c r="AE6" i="28"/>
  <c r="AD6" i="28"/>
  <c r="AC6" i="28"/>
  <c r="W6" i="28"/>
  <c r="V6" i="28"/>
  <c r="U6" i="28"/>
  <c r="T6" i="28"/>
  <c r="S6" i="28"/>
  <c r="R6" i="28"/>
  <c r="Q6" i="28"/>
  <c r="P6" i="28"/>
  <c r="O6" i="28"/>
  <c r="N6" i="28"/>
  <c r="M6" i="28"/>
  <c r="L6" i="28"/>
  <c r="K6" i="28"/>
  <c r="J6" i="28"/>
  <c r="G6" i="28"/>
  <c r="F6" i="28"/>
  <c r="D6" i="28"/>
  <c r="C6" i="28"/>
  <c r="B6" i="28"/>
  <c r="FJ4" i="28"/>
  <c r="I6" i="28" l="1"/>
  <c r="AM119" i="28"/>
  <c r="BH115" i="28"/>
  <c r="EO61" i="28"/>
  <c r="FC87" i="28"/>
  <c r="BP6" i="28"/>
  <c r="AR115" i="28"/>
  <c r="BX6" i="28"/>
  <c r="AE119" i="28"/>
  <c r="BK119" i="28"/>
  <c r="BL6" i="28"/>
  <c r="EZ6" i="28"/>
  <c r="BC119" i="28"/>
  <c r="BL114" i="28"/>
  <c r="AQ119" i="28"/>
  <c r="AY119" i="28"/>
  <c r="BG119" i="28"/>
  <c r="CI119" i="28"/>
  <c r="CT119" i="28"/>
  <c r="DC119" i="28"/>
  <c r="DG119" i="28"/>
  <c r="DK119" i="28"/>
  <c r="DO119" i="28"/>
  <c r="DS119" i="28"/>
  <c r="DW119" i="28"/>
  <c r="EA119" i="28"/>
  <c r="EE119" i="28"/>
  <c r="AV6" i="28"/>
  <c r="AA101" i="28"/>
  <c r="BS119" i="28"/>
  <c r="H117" i="28"/>
  <c r="EO82" i="28"/>
  <c r="AX119" i="28"/>
  <c r="BW119" i="28"/>
  <c r="CD119" i="28"/>
  <c r="CY119" i="28"/>
  <c r="AH119" i="28"/>
  <c r="H6" i="28"/>
  <c r="AA102" i="28"/>
  <c r="EO102" i="28" s="1"/>
  <c r="BN119" i="28"/>
  <c r="Y114" i="28"/>
  <c r="EM99" i="28"/>
  <c r="EO99" i="28" s="1"/>
  <c r="EJ102" i="28"/>
  <c r="EN102" i="28" s="1"/>
  <c r="FC107" i="28"/>
  <c r="EK8" i="28"/>
  <c r="EM50" i="28"/>
  <c r="EO50" i="28" s="1"/>
  <c r="EJ52" i="28"/>
  <c r="EN52" i="28" s="1"/>
  <c r="EK52" i="28"/>
  <c r="EM55" i="28"/>
  <c r="EO55" i="28" s="1"/>
  <c r="CN119" i="28"/>
  <c r="EM81" i="28"/>
  <c r="EO81" i="28" s="1"/>
  <c r="AZ114" i="28"/>
  <c r="EO60" i="28"/>
  <c r="AA32" i="28"/>
  <c r="FA32" i="28" s="1"/>
  <c r="FC31" i="28"/>
  <c r="BP116" i="28"/>
  <c r="EO106" i="28"/>
  <c r="Z114" i="28"/>
  <c r="Z119" i="28" s="1"/>
  <c r="AF6" i="28"/>
  <c r="EO21" i="28"/>
  <c r="FC28" i="28"/>
  <c r="EM30" i="28"/>
  <c r="EO30" i="28" s="1"/>
  <c r="EJ31" i="28"/>
  <c r="EN31" i="28" s="1"/>
  <c r="EK31" i="28"/>
  <c r="EH32" i="28"/>
  <c r="EI36" i="28"/>
  <c r="EK47" i="28"/>
  <c r="EO63" i="28"/>
  <c r="EM86" i="28"/>
  <c r="EO86" i="28" s="1"/>
  <c r="EM108" i="28"/>
  <c r="EO108" i="28" s="1"/>
  <c r="EI23" i="28"/>
  <c r="EJ22" i="28"/>
  <c r="EN22" i="28" s="1"/>
  <c r="EM25" i="28"/>
  <c r="EO25" i="28" s="1"/>
  <c r="EK61" i="28"/>
  <c r="EJ64" i="28"/>
  <c r="EN64" i="28" s="1"/>
  <c r="EO66" i="28"/>
  <c r="EK79" i="28"/>
  <c r="EJ81" i="28"/>
  <c r="EN81" i="28" s="1"/>
  <c r="EK94" i="28"/>
  <c r="EJ61" i="28"/>
  <c r="EN61" i="28" s="1"/>
  <c r="EJ8" i="28"/>
  <c r="EN8" i="28" s="1"/>
  <c r="BD114" i="28"/>
  <c r="Y117" i="28"/>
  <c r="EM13" i="28"/>
  <c r="EO13" i="28" s="1"/>
  <c r="EJ16" i="28"/>
  <c r="EN16" i="28" s="1"/>
  <c r="EJ17" i="28"/>
  <c r="EN17" i="28" s="1"/>
  <c r="FC35" i="28"/>
  <c r="FC63" i="28"/>
  <c r="EK65" i="28"/>
  <c r="EJ71" i="28"/>
  <c r="EN71" i="28" s="1"/>
  <c r="EJ89" i="28"/>
  <c r="EN89" i="28" s="1"/>
  <c r="AL119" i="28"/>
  <c r="BB119" i="28"/>
  <c r="BR119" i="28"/>
  <c r="AZ6" i="28"/>
  <c r="EJ11" i="28"/>
  <c r="EN11" i="28" s="1"/>
  <c r="FC30" i="28"/>
  <c r="EN38" i="28"/>
  <c r="EM43" i="28"/>
  <c r="EO43" i="28" s="1"/>
  <c r="EJ44" i="28"/>
  <c r="EN44" i="28" s="1"/>
  <c r="EK49" i="28"/>
  <c r="EM64" i="28"/>
  <c r="EO64" i="28" s="1"/>
  <c r="EM69" i="28"/>
  <c r="EO69" i="28" s="1"/>
  <c r="EM73" i="28"/>
  <c r="EO73" i="28" s="1"/>
  <c r="EJ94" i="28"/>
  <c r="EN94" i="28" s="1"/>
  <c r="FC99" i="28"/>
  <c r="AB6" i="28"/>
  <c r="Y115" i="28"/>
  <c r="Y116" i="28" s="1"/>
  <c r="Y118" i="28" s="1"/>
  <c r="EK10" i="28"/>
  <c r="EY14" i="28"/>
  <c r="EK30" i="28"/>
  <c r="FC61" i="28"/>
  <c r="AN117" i="28"/>
  <c r="EJ95" i="28"/>
  <c r="EN95" i="28" s="1"/>
  <c r="EJ108" i="28"/>
  <c r="EN108" i="28" s="1"/>
  <c r="EK108" i="28"/>
  <c r="CH119" i="28"/>
  <c r="CM119" i="28"/>
  <c r="CR119" i="28"/>
  <c r="CX119" i="28"/>
  <c r="DB119" i="28"/>
  <c r="DF119" i="28"/>
  <c r="DJ119" i="28"/>
  <c r="DN119" i="28"/>
  <c r="DR119" i="28"/>
  <c r="DV119" i="28"/>
  <c r="DZ119" i="28"/>
  <c r="ED119" i="28"/>
  <c r="EK12" i="28"/>
  <c r="AN6" i="28"/>
  <c r="BD6" i="28"/>
  <c r="AF114" i="28"/>
  <c r="FC9" i="28"/>
  <c r="EJ10" i="28"/>
  <c r="EN10" i="28" s="1"/>
  <c r="EN21" i="28"/>
  <c r="EI32" i="28"/>
  <c r="EY42" i="28"/>
  <c r="EM42" i="28"/>
  <c r="EO42" i="28" s="1"/>
  <c r="FC42" i="28"/>
  <c r="EK42" i="28"/>
  <c r="EJ9" i="28"/>
  <c r="EN9" i="28" s="1"/>
  <c r="EK9" i="28"/>
  <c r="EK18" i="28"/>
  <c r="EI27" i="28"/>
  <c r="EL24" i="28"/>
  <c r="EL27" i="28" s="1"/>
  <c r="EJ28" i="28"/>
  <c r="EK28" i="28"/>
  <c r="EJ30" i="28"/>
  <c r="EN30" i="28" s="1"/>
  <c r="EK34" i="28"/>
  <c r="EY35" i="28"/>
  <c r="EM35" i="28"/>
  <c r="EO35" i="28" s="1"/>
  <c r="EK35" i="28"/>
  <c r="EO41" i="28"/>
  <c r="EM9" i="28"/>
  <c r="EO9" i="28" s="1"/>
  <c r="EK26" i="28"/>
  <c r="EN34" i="28"/>
  <c r="EM34" i="28"/>
  <c r="EO34" i="28" s="1"/>
  <c r="EY40" i="28"/>
  <c r="EM40" i="28"/>
  <c r="EO40" i="28" s="1"/>
  <c r="EY41" i="28"/>
  <c r="EK41" i="28"/>
  <c r="FC41" i="28"/>
  <c r="EJ12" i="28"/>
  <c r="EN12" i="28" s="1"/>
  <c r="EJ18" i="28"/>
  <c r="EN18" i="28" s="1"/>
  <c r="AB114" i="28"/>
  <c r="AB119" i="28" s="1"/>
  <c r="EK21" i="28"/>
  <c r="EN25" i="28"/>
  <c r="EJ26" i="28"/>
  <c r="EJ27" i="28" s="1"/>
  <c r="EM28" i="28"/>
  <c r="EM31" i="28"/>
  <c r="EO31" i="28" s="1"/>
  <c r="FC34" i="28"/>
  <c r="EJ35" i="28"/>
  <c r="EN35" i="28" s="1"/>
  <c r="EM38" i="28"/>
  <c r="EO38" i="28" s="1"/>
  <c r="EJ40" i="28"/>
  <c r="EN40" i="28" s="1"/>
  <c r="EM44" i="28"/>
  <c r="EO44" i="28" s="1"/>
  <c r="EJ51" i="28"/>
  <c r="EN51" i="28" s="1"/>
  <c r="EM52" i="28"/>
  <c r="EO52" i="28" s="1"/>
  <c r="EJ54" i="28"/>
  <c r="EN54" i="28" s="1"/>
  <c r="EJ57" i="28"/>
  <c r="EN57" i="28" s="1"/>
  <c r="EL63" i="28"/>
  <c r="EJ67" i="28"/>
  <c r="EN67" i="28" s="1"/>
  <c r="EO70" i="28"/>
  <c r="EK70" i="28"/>
  <c r="EK75" i="28"/>
  <c r="EJ76" i="28"/>
  <c r="EN76" i="28" s="1"/>
  <c r="EJ79" i="28"/>
  <c r="EN79" i="28" s="1"/>
  <c r="EO80" i="28"/>
  <c r="AV117" i="28"/>
  <c r="EK87" i="28"/>
  <c r="EJ100" i="28"/>
  <c r="EN100" i="28" s="1"/>
  <c r="EJ103" i="28"/>
  <c r="EN103" i="28" s="1"/>
  <c r="EK103" i="28"/>
  <c r="EJ105" i="28"/>
  <c r="EN105" i="28" s="1"/>
  <c r="EK105" i="28"/>
  <c r="FC109" i="28"/>
  <c r="EJ112" i="28"/>
  <c r="EN112" i="28" s="1"/>
  <c r="EM112" i="28"/>
  <c r="EO112" i="28" s="1"/>
  <c r="EK11" i="28"/>
  <c r="AC114" i="28"/>
  <c r="AC119" i="28" s="1"/>
  <c r="EH36" i="28"/>
  <c r="EJ41" i="28"/>
  <c r="EN41" i="28" s="1"/>
  <c r="EJ42" i="28"/>
  <c r="EN42" i="28" s="1"/>
  <c r="EJ45" i="28"/>
  <c r="EN45" i="28" s="1"/>
  <c r="EJ46" i="28"/>
  <c r="EN46" i="28" s="1"/>
  <c r="EJ48" i="28"/>
  <c r="EN48" i="28" s="1"/>
  <c r="EK48" i="28"/>
  <c r="EJ53" i="28"/>
  <c r="EN53" i="28" s="1"/>
  <c r="BL116" i="28"/>
  <c r="EK53" i="28"/>
  <c r="FC53" i="28"/>
  <c r="EM54" i="28"/>
  <c r="EO54" i="28" s="1"/>
  <c r="EK56" i="28"/>
  <c r="EM57" i="28"/>
  <c r="EO57" i="28" s="1"/>
  <c r="EO58" i="28"/>
  <c r="EJ58" i="28"/>
  <c r="EN58" i="28" s="1"/>
  <c r="EK58" i="28"/>
  <c r="EJ60" i="28"/>
  <c r="EN60" i="28" s="1"/>
  <c r="EK60" i="28"/>
  <c r="EJ62" i="28"/>
  <c r="EN62" i="28" s="1"/>
  <c r="EJ66" i="28"/>
  <c r="EN66" i="28" s="1"/>
  <c r="EK66" i="28"/>
  <c r="FC66" i="28"/>
  <c r="FC69" i="28"/>
  <c r="EJ70" i="28"/>
  <c r="EN70" i="28" s="1"/>
  <c r="EO74" i="28"/>
  <c r="EY79" i="28"/>
  <c r="EO83" i="28"/>
  <c r="EJ84" i="28"/>
  <c r="EN84" i="28" s="1"/>
  <c r="EJ85" i="28"/>
  <c r="EN85" i="28" s="1"/>
  <c r="EJ86" i="28"/>
  <c r="EN86" i="28" s="1"/>
  <c r="EK86" i="28"/>
  <c r="FC86" i="28"/>
  <c r="EJ88" i="28"/>
  <c r="EN88" i="28" s="1"/>
  <c r="EJ93" i="28"/>
  <c r="EN93" i="28" s="1"/>
  <c r="EJ96" i="28"/>
  <c r="EN96" i="28" s="1"/>
  <c r="EM96" i="28"/>
  <c r="EO96" i="28" s="1"/>
  <c r="EJ97" i="28"/>
  <c r="EN97" i="28" s="1"/>
  <c r="EJ98" i="28"/>
  <c r="EN98" i="28" s="1"/>
  <c r="EJ104" i="28"/>
  <c r="EN104" i="28" s="1"/>
  <c r="EJ106" i="28"/>
  <c r="EN106" i="28" s="1"/>
  <c r="EJ107" i="28"/>
  <c r="EN107" i="28" s="1"/>
  <c r="EK109" i="28"/>
  <c r="EJ111" i="28"/>
  <c r="EN111" i="28" s="1"/>
  <c r="EK111" i="28"/>
  <c r="EJ113" i="28"/>
  <c r="EN113" i="28" s="1"/>
  <c r="AJ6" i="28"/>
  <c r="EJ47" i="28"/>
  <c r="EN47" i="28" s="1"/>
  <c r="EJ50" i="28"/>
  <c r="EN50" i="28" s="1"/>
  <c r="FC52" i="28"/>
  <c r="EM53" i="28"/>
  <c r="EO53" i="28" s="1"/>
  <c r="EJ55" i="28"/>
  <c r="EN55" i="28" s="1"/>
  <c r="I118" i="28"/>
  <c r="FC85" i="28"/>
  <c r="EY87" i="28"/>
  <c r="EJ99" i="28"/>
  <c r="EN99" i="28" s="1"/>
  <c r="FC108" i="28"/>
  <c r="EM111" i="28"/>
  <c r="EO111" i="28" s="1"/>
  <c r="FC58" i="28"/>
  <c r="BX119" i="28"/>
  <c r="FC60" i="28"/>
  <c r="EJ63" i="28"/>
  <c r="EN63" i="28" s="1"/>
  <c r="EK63" i="28"/>
  <c r="EJ69" i="28"/>
  <c r="EN69" i="28" s="1"/>
  <c r="FC70" i="28"/>
  <c r="EJ73" i="28"/>
  <c r="EN73" i="28" s="1"/>
  <c r="EK77" i="28"/>
  <c r="EJ90" i="28"/>
  <c r="EN90" i="28" s="1"/>
  <c r="AZ117" i="28"/>
  <c r="FC111" i="28"/>
  <c r="A40" i="28"/>
  <c r="A41" i="28" s="1"/>
  <c r="A42" i="28" s="1"/>
  <c r="A43" i="28" s="1"/>
  <c r="EY7" i="28"/>
  <c r="EY8" i="28"/>
  <c r="EY10" i="28"/>
  <c r="EI20" i="28"/>
  <c r="EL16" i="28"/>
  <c r="EL20" i="28" s="1"/>
  <c r="FC17" i="28"/>
  <c r="EM17" i="28"/>
  <c r="EO17" i="28" s="1"/>
  <c r="FC19" i="28"/>
  <c r="EM19" i="28"/>
  <c r="EO19" i="28" s="1"/>
  <c r="EK22" i="28"/>
  <c r="EY22" i="28"/>
  <c r="EO37" i="28"/>
  <c r="FC37" i="28"/>
  <c r="AA39" i="28"/>
  <c r="EK45" i="28"/>
  <c r="FC45" i="28"/>
  <c r="EY45" i="28"/>
  <c r="EK68" i="28"/>
  <c r="FC68" i="28"/>
  <c r="H118" i="28"/>
  <c r="AA84" i="28"/>
  <c r="AA117" i="28" s="1"/>
  <c r="EK89" i="28"/>
  <c r="EY89" i="28"/>
  <c r="FC89" i="28"/>
  <c r="EM89" i="28"/>
  <c r="EO89" i="28" s="1"/>
  <c r="EI6" i="28"/>
  <c r="EM8" i="28"/>
  <c r="EM10" i="28"/>
  <c r="EO10" i="28" s="1"/>
  <c r="I117" i="28"/>
  <c r="EY12" i="28"/>
  <c r="Y16" i="28"/>
  <c r="FB20" i="28" s="1"/>
  <c r="FB6" i="28" s="1"/>
  <c r="EN19" i="28"/>
  <c r="FC22" i="28"/>
  <c r="FC23" i="28" s="1"/>
  <c r="EK24" i="28"/>
  <c r="EN24" i="28"/>
  <c r="EM24" i="28"/>
  <c r="EO24" i="28" s="1"/>
  <c r="FC29" i="28"/>
  <c r="EM29" i="28"/>
  <c r="EO29" i="28" s="1"/>
  <c r="EJ43" i="28"/>
  <c r="EN43" i="28" s="1"/>
  <c r="FC43" i="28"/>
  <c r="FC44" i="28"/>
  <c r="AJ116" i="28"/>
  <c r="BD116" i="28"/>
  <c r="FC50" i="28"/>
  <c r="EK59" i="28"/>
  <c r="FC59" i="28"/>
  <c r="EK62" i="28"/>
  <c r="FC62" i="28"/>
  <c r="EL64" i="28"/>
  <c r="EK64" i="28"/>
  <c r="EK67" i="28"/>
  <c r="FC67" i="28"/>
  <c r="EY67" i="28"/>
  <c r="FC71" i="28"/>
  <c r="EM71" i="28"/>
  <c r="EO71" i="28" s="1"/>
  <c r="EL76" i="28"/>
  <c r="EK76" i="28"/>
  <c r="EM78" i="28"/>
  <c r="EO78" i="28" s="1"/>
  <c r="FC78" i="28"/>
  <c r="EY78" i="28"/>
  <c r="EJ80" i="28"/>
  <c r="EN80" i="28" s="1"/>
  <c r="FC80" i="28"/>
  <c r="EY80" i="28"/>
  <c r="EK80" i="28"/>
  <c r="FC88" i="28"/>
  <c r="EM88" i="28"/>
  <c r="EO88" i="28" s="1"/>
  <c r="EK88" i="28"/>
  <c r="FC97" i="28"/>
  <c r="EM97" i="28"/>
  <c r="EO97" i="28" s="1"/>
  <c r="EY97" i="28"/>
  <c r="EK97" i="28"/>
  <c r="EK98" i="28"/>
  <c r="EM98" i="28"/>
  <c r="EO98" i="28" s="1"/>
  <c r="EY98" i="28"/>
  <c r="FC113" i="28"/>
  <c r="EM113" i="28"/>
  <c r="EO113" i="28" s="1"/>
  <c r="EY113" i="28"/>
  <c r="EK113" i="28"/>
  <c r="X6" i="28"/>
  <c r="AR6" i="28"/>
  <c r="BH6" i="28"/>
  <c r="BT6" i="28"/>
  <c r="AN114" i="28"/>
  <c r="EJ7" i="28"/>
  <c r="EN7" i="28" s="1"/>
  <c r="FC7" i="28"/>
  <c r="AA8" i="28"/>
  <c r="FC8" i="28"/>
  <c r="BT119" i="28"/>
  <c r="FC10" i="28"/>
  <c r="EM12" i="28"/>
  <c r="EO12" i="28" s="1"/>
  <c r="FC12" i="28"/>
  <c r="EY13" i="28"/>
  <c r="EM14" i="28"/>
  <c r="EO14" i="28" s="1"/>
  <c r="AA20" i="28"/>
  <c r="EK16" i="28"/>
  <c r="FC16" i="28"/>
  <c r="FC18" i="28"/>
  <c r="EM18" i="28"/>
  <c r="EO18" i="28" s="1"/>
  <c r="AA23" i="28"/>
  <c r="FA23" i="28" s="1"/>
  <c r="EY24" i="28"/>
  <c r="EH27" i="28"/>
  <c r="EY29" i="28"/>
  <c r="EY33" i="28"/>
  <c r="AJ115" i="28"/>
  <c r="FC40" i="28"/>
  <c r="AA116" i="28"/>
  <c r="AN116" i="28"/>
  <c r="FC49" i="28"/>
  <c r="EM49" i="28"/>
  <c r="EO49" i="28" s="1"/>
  <c r="FC54" i="28"/>
  <c r="FC55" i="28"/>
  <c r="EJ56" i="28"/>
  <c r="EN56" i="28" s="1"/>
  <c r="FC56" i="28"/>
  <c r="EM56" i="28"/>
  <c r="EO56" i="28" s="1"/>
  <c r="EJ59" i="28"/>
  <c r="EN59" i="28" s="1"/>
  <c r="FC64" i="28"/>
  <c r="EJ65" i="28"/>
  <c r="EN65" i="28" s="1"/>
  <c r="FC65" i="28"/>
  <c r="EM65" i="28"/>
  <c r="EO65" i="28" s="1"/>
  <c r="EJ68" i="28"/>
  <c r="EN68" i="28" s="1"/>
  <c r="EY71" i="28"/>
  <c r="EL73" i="28"/>
  <c r="EK73" i="28"/>
  <c r="FC73" i="28"/>
  <c r="EJ74" i="28"/>
  <c r="EN74" i="28" s="1"/>
  <c r="EK74" i="28"/>
  <c r="FC74" i="28"/>
  <c r="EY74" i="28"/>
  <c r="EJ75" i="28"/>
  <c r="EN75" i="28" s="1"/>
  <c r="FC75" i="28"/>
  <c r="EM75" i="28"/>
  <c r="EO75" i="28" s="1"/>
  <c r="EL81" i="28"/>
  <c r="EK81" i="28"/>
  <c r="FC81" i="28"/>
  <c r="EJ82" i="28"/>
  <c r="EN82" i="28" s="1"/>
  <c r="FC82" i="28"/>
  <c r="EY82" i="28"/>
  <c r="EK82" i="28"/>
  <c r="EK85" i="28"/>
  <c r="EY85" i="28"/>
  <c r="FC91" i="28"/>
  <c r="EM91" i="28"/>
  <c r="EO91" i="28" s="1"/>
  <c r="EK91" i="28"/>
  <c r="EO92" i="28"/>
  <c r="EJ92" i="28"/>
  <c r="EN92" i="28" s="1"/>
  <c r="EY92" i="28"/>
  <c r="EK92" i="28"/>
  <c r="FC92" i="28"/>
  <c r="FC93" i="28"/>
  <c r="EM93" i="28"/>
  <c r="EO93" i="28" s="1"/>
  <c r="EY93" i="28"/>
  <c r="EK93" i="28"/>
  <c r="EL118" i="28"/>
  <c r="FC118" i="28"/>
  <c r="EK51" i="28"/>
  <c r="FC51" i="28"/>
  <c r="EY68" i="28"/>
  <c r="EO72" i="28"/>
  <c r="AJ114" i="28"/>
  <c r="EM7" i="28"/>
  <c r="EH20" i="28"/>
  <c r="FC33" i="28"/>
  <c r="EM33" i="28"/>
  <c r="AZ116" i="28"/>
  <c r="FC57" i="28"/>
  <c r="EO59" i="28"/>
  <c r="EY59" i="28"/>
  <c r="EY62" i="28"/>
  <c r="AR114" i="28"/>
  <c r="EK7" i="28"/>
  <c r="AV114" i="28"/>
  <c r="BH114" i="28"/>
  <c r="AA11" i="28"/>
  <c r="EO11" i="28" s="1"/>
  <c r="EM16" i="28"/>
  <c r="EK17" i="28"/>
  <c r="EY17" i="28"/>
  <c r="EK19" i="28"/>
  <c r="EY19" i="28"/>
  <c r="EH23" i="28"/>
  <c r="EM22" i="28"/>
  <c r="EM23" i="28" s="1"/>
  <c r="FC26" i="28"/>
  <c r="FC27" i="28" s="1"/>
  <c r="EM26" i="28"/>
  <c r="EO26" i="28" s="1"/>
  <c r="EJ29" i="28"/>
  <c r="EN29" i="28" s="1"/>
  <c r="EK29" i="28"/>
  <c r="EJ33" i="28"/>
  <c r="EJ36" i="28" s="1"/>
  <c r="EK33" i="28"/>
  <c r="AA36" i="28"/>
  <c r="FA36" i="28" s="1"/>
  <c r="EJ37" i="28"/>
  <c r="EN37" i="28" s="1"/>
  <c r="EK37" i="28"/>
  <c r="EY37" i="28"/>
  <c r="AN115" i="28"/>
  <c r="BD115" i="28"/>
  <c r="EK39" i="28"/>
  <c r="FC39" i="28"/>
  <c r="EY39" i="28"/>
  <c r="EM45" i="28"/>
  <c r="EO45" i="28" s="1"/>
  <c r="EO46" i="28"/>
  <c r="EK46" i="28"/>
  <c r="FC46" i="28"/>
  <c r="EY46" i="28"/>
  <c r="FC47" i="28"/>
  <c r="EM47" i="28"/>
  <c r="FC48" i="28"/>
  <c r="EM48" i="28"/>
  <c r="EO48" i="28" s="1"/>
  <c r="EM51" i="28"/>
  <c r="EO51" i="28" s="1"/>
  <c r="EO62" i="28"/>
  <c r="EO67" i="28"/>
  <c r="EM68" i="28"/>
  <c r="EO68" i="28" s="1"/>
  <c r="EL69" i="28"/>
  <c r="EK69" i="28"/>
  <c r="EK71" i="28"/>
  <c r="EJ72" i="28"/>
  <c r="EN72" i="28" s="1"/>
  <c r="EK72" i="28"/>
  <c r="FC72" i="28"/>
  <c r="EY72" i="28"/>
  <c r="EJ78" i="28"/>
  <c r="EN78" i="28" s="1"/>
  <c r="EK78" i="28"/>
  <c r="AJ117" i="28"/>
  <c r="FC83" i="28"/>
  <c r="EY83" i="28"/>
  <c r="EK83" i="28"/>
  <c r="EL96" i="28"/>
  <c r="EK96" i="28"/>
  <c r="FC96" i="28"/>
  <c r="FC98" i="28"/>
  <c r="EL101" i="28"/>
  <c r="EK101" i="28"/>
  <c r="EL21" i="28"/>
  <c r="EL23" i="28" s="1"/>
  <c r="EK25" i="28"/>
  <c r="AA27" i="28"/>
  <c r="FA27" i="28" s="1"/>
  <c r="EL28" i="28"/>
  <c r="EL30" i="28"/>
  <c r="EL31" i="28"/>
  <c r="EL34" i="28"/>
  <c r="EL36" i="28" s="1"/>
  <c r="EL35" i="28"/>
  <c r="EK38" i="28"/>
  <c r="AF115" i="28"/>
  <c r="AV115" i="28"/>
  <c r="BL115" i="28"/>
  <c r="EJ39" i="28"/>
  <c r="EK40" i="28"/>
  <c r="EK43" i="28"/>
  <c r="EK44" i="28"/>
  <c r="AR116" i="28"/>
  <c r="BH116" i="28"/>
  <c r="EK50" i="28"/>
  <c r="EK54" i="28"/>
  <c r="EK55" i="28"/>
  <c r="EK57" i="28"/>
  <c r="EY58" i="28"/>
  <c r="EY60" i="28"/>
  <c r="EY61" i="28"/>
  <c r="EY63" i="28"/>
  <c r="EY66" i="28"/>
  <c r="EY70" i="28"/>
  <c r="EJ77" i="28"/>
  <c r="EN77" i="28" s="1"/>
  <c r="EM79" i="28"/>
  <c r="EO79" i="28" s="1"/>
  <c r="FC79" i="28"/>
  <c r="EJ91" i="28"/>
  <c r="EN91" i="28" s="1"/>
  <c r="FC94" i="28"/>
  <c r="EM94" i="28"/>
  <c r="EO94" i="28" s="1"/>
  <c r="EY94" i="28"/>
  <c r="EL100" i="28"/>
  <c r="FC100" i="28"/>
  <c r="EK100" i="28"/>
  <c r="BV119" i="28"/>
  <c r="CB119" i="28"/>
  <c r="EH115" i="28"/>
  <c r="AZ115" i="28"/>
  <c r="BP115" i="28"/>
  <c r="AF116" i="28"/>
  <c r="AV116" i="28"/>
  <c r="EJ49" i="28"/>
  <c r="EN49" i="28" s="1"/>
  <c r="EM76" i="28"/>
  <c r="EO76" i="28" s="1"/>
  <c r="FC76" i="28"/>
  <c r="FC77" i="28"/>
  <c r="EM77" i="28"/>
  <c r="EO77" i="28" s="1"/>
  <c r="AF117" i="28"/>
  <c r="EJ83" i="28"/>
  <c r="EN83" i="28" s="1"/>
  <c r="EK84" i="28"/>
  <c r="EM84" i="28"/>
  <c r="FC84" i="28"/>
  <c r="EO85" i="28"/>
  <c r="EJ87" i="28"/>
  <c r="EN87" i="28" s="1"/>
  <c r="FC90" i="28"/>
  <c r="EM90" i="28"/>
  <c r="EO90" i="28" s="1"/>
  <c r="EY90" i="28"/>
  <c r="EK90" i="28"/>
  <c r="FC95" i="28"/>
  <c r="EM95" i="28"/>
  <c r="EO95" i="28" s="1"/>
  <c r="EY95" i="28"/>
  <c r="EK95" i="28"/>
  <c r="EL99" i="28"/>
  <c r="EK99" i="28"/>
  <c r="EK107" i="28"/>
  <c r="EY107" i="28"/>
  <c r="EM107" i="28"/>
  <c r="EO107" i="28" s="1"/>
  <c r="EN110" i="28"/>
  <c r="EY110" i="28"/>
  <c r="EK110" i="28"/>
  <c r="FC110" i="28"/>
  <c r="EM110" i="28"/>
  <c r="EO110" i="28" s="1"/>
  <c r="BJ119" i="28"/>
  <c r="AR117" i="28"/>
  <c r="FC102" i="28"/>
  <c r="EY102" i="28"/>
  <c r="EK102" i="28"/>
  <c r="FC106" i="28"/>
  <c r="EY106" i="28"/>
  <c r="EK106" i="28"/>
  <c r="EJ109" i="28"/>
  <c r="EN109" i="28" s="1"/>
  <c r="EL112" i="28"/>
  <c r="FC112" i="28"/>
  <c r="EK112" i="28"/>
  <c r="AT119" i="28"/>
  <c r="BO119" i="28"/>
  <c r="CA119" i="28"/>
  <c r="CF119" i="28"/>
  <c r="CL119" i="28"/>
  <c r="CQ119" i="28"/>
  <c r="CV119" i="28"/>
  <c r="DA119" i="28"/>
  <c r="DE119" i="28"/>
  <c r="DI119" i="28"/>
  <c r="DM119" i="28"/>
  <c r="DQ119" i="28"/>
  <c r="DU119" i="28"/>
  <c r="DY119" i="28"/>
  <c r="EC119" i="28"/>
  <c r="EG119" i="28"/>
  <c r="EM87" i="28"/>
  <c r="EO87" i="28" s="1"/>
  <c r="FC104" i="28"/>
  <c r="EL104" i="28"/>
  <c r="EH116" i="28"/>
  <c r="EM109" i="28"/>
  <c r="EO109" i="28" s="1"/>
  <c r="AD119" i="28"/>
  <c r="AI119" i="28"/>
  <c r="AU119" i="28"/>
  <c r="BF119" i="28"/>
  <c r="EI115" i="28"/>
  <c r="EL115" i="28" s="1"/>
  <c r="EI116" i="28"/>
  <c r="EL116" i="28" s="1"/>
  <c r="EH117" i="28"/>
  <c r="EM117" i="28" s="1"/>
  <c r="EM100" i="28"/>
  <c r="EO100" i="28" s="1"/>
  <c r="EJ101" i="28"/>
  <c r="EN101" i="28" s="1"/>
  <c r="FC101" i="28"/>
  <c r="EM101" i="28"/>
  <c r="FC103" i="28"/>
  <c r="EM103" i="28"/>
  <c r="EO103" i="28" s="1"/>
  <c r="EK104" i="28"/>
  <c r="EM104" i="28"/>
  <c r="EO104" i="28" s="1"/>
  <c r="FC105" i="28"/>
  <c r="EM105" i="28"/>
  <c r="EO105" i="28" s="1"/>
  <c r="AP119" i="28"/>
  <c r="BZ119" i="28"/>
  <c r="CE119" i="28"/>
  <c r="CJ119" i="28"/>
  <c r="CP119" i="28"/>
  <c r="CU119" i="28"/>
  <c r="CZ119" i="28"/>
  <c r="DD119" i="28"/>
  <c r="DH119" i="28"/>
  <c r="DL119" i="28"/>
  <c r="DP119" i="28"/>
  <c r="DT119" i="28"/>
  <c r="DX119" i="28"/>
  <c r="EB119" i="28"/>
  <c r="EF119" i="28"/>
  <c r="EI117" i="28"/>
  <c r="EL117" i="28" s="1"/>
  <c r="EK118" i="28"/>
  <c r="EN118" i="28"/>
  <c r="EM118" i="28"/>
  <c r="EO118" i="28" s="1"/>
  <c r="EJ32" i="28" l="1"/>
  <c r="BL119" i="28"/>
  <c r="FA6" i="28"/>
  <c r="EJ23" i="28"/>
  <c r="EO101" i="28"/>
  <c r="BP119" i="28"/>
  <c r="EI114" i="28"/>
  <c r="EI119" i="28" s="1"/>
  <c r="BD119" i="28"/>
  <c r="EK23" i="28"/>
  <c r="EK32" i="28"/>
  <c r="FC36" i="28"/>
  <c r="AZ119" i="28"/>
  <c r="FC32" i="28"/>
  <c r="EN23" i="28"/>
  <c r="EN26" i="28"/>
  <c r="EN27" i="28" s="1"/>
  <c r="AA114" i="28"/>
  <c r="EN28" i="28"/>
  <c r="EN32" i="28" s="1"/>
  <c r="EJ20" i="28"/>
  <c r="FC116" i="28"/>
  <c r="AF119" i="28"/>
  <c r="EK36" i="28"/>
  <c r="FC117" i="28"/>
  <c r="EL32" i="28"/>
  <c r="EL114" i="28" s="1"/>
  <c r="EL119" i="28" s="1"/>
  <c r="EH6" i="28"/>
  <c r="EO84" i="28"/>
  <c r="EN20" i="28"/>
  <c r="EL6" i="28"/>
  <c r="EM116" i="28"/>
  <c r="EO116" i="28" s="1"/>
  <c r="EH114" i="28"/>
  <c r="EH119" i="28" s="1"/>
  <c r="AV119" i="28"/>
  <c r="EM32" i="28"/>
  <c r="EO28" i="28"/>
  <c r="EO32" i="28" s="1"/>
  <c r="EO117" i="28"/>
  <c r="EJ6" i="28"/>
  <c r="EK6" i="28"/>
  <c r="AA115" i="28"/>
  <c r="EO39" i="28"/>
  <c r="AA6" i="28"/>
  <c r="EO27" i="28"/>
  <c r="EO47" i="28"/>
  <c r="FC115" i="28"/>
  <c r="EJ117" i="28"/>
  <c r="EN117" i="28" s="1"/>
  <c r="EK115" i="28"/>
  <c r="EM20" i="28"/>
  <c r="EO16" i="28"/>
  <c r="EO20" i="28" s="1"/>
  <c r="EO7" i="28"/>
  <c r="Y6" i="28"/>
  <c r="EN33" i="28"/>
  <c r="EN36" i="28" s="1"/>
  <c r="AJ119" i="28"/>
  <c r="EK117" i="28"/>
  <c r="EJ116" i="28"/>
  <c r="EN116" i="28" s="1"/>
  <c r="EN39" i="28"/>
  <c r="EO22" i="28"/>
  <c r="EO23" i="28" s="1"/>
  <c r="EM27" i="28"/>
  <c r="EK27" i="28"/>
  <c r="EK116" i="28"/>
  <c r="EM115" i="28"/>
  <c r="EJ115" i="28"/>
  <c r="EN115" i="28" s="1"/>
  <c r="FC6" i="28"/>
  <c r="BH119" i="28"/>
  <c r="AR119" i="28"/>
  <c r="EM36" i="28"/>
  <c r="EO33" i="28"/>
  <c r="EO36" i="28" s="1"/>
  <c r="EK20" i="28"/>
  <c r="EO8" i="28"/>
  <c r="AN119" i="28"/>
  <c r="A6" i="28"/>
  <c r="EJ114" i="28" l="1"/>
  <c r="EJ119" i="28" s="1"/>
  <c r="EM6" i="28"/>
  <c r="AA119" i="28"/>
  <c r="FC119" i="28"/>
  <c r="FC114" i="28"/>
  <c r="Z6" i="28"/>
  <c r="EN114" i="28"/>
  <c r="EN119" i="28" s="1"/>
  <c r="EK114" i="28"/>
  <c r="EK119" i="28" s="1"/>
  <c r="EM114" i="28"/>
  <c r="EM119" i="28" s="1"/>
  <c r="EO6" i="28"/>
  <c r="EO114" i="28"/>
  <c r="EO119" i="28" s="1"/>
  <c r="EO115" i="28"/>
  <c r="BP63" i="17" l="1"/>
  <c r="BL63" i="17"/>
  <c r="BH63" i="17"/>
  <c r="BD63" i="17" l="1"/>
  <c r="AR63" i="17"/>
  <c r="AZ63" i="17"/>
  <c r="BL33" i="17" l="1"/>
  <c r="BD33" i="17"/>
  <c r="BH33" i="17" l="1"/>
  <c r="CZ36" i="17" l="1"/>
  <c r="H35" i="17" l="1"/>
  <c r="I35" i="17"/>
  <c r="AZ33" i="17" l="1"/>
  <c r="AV33" i="17"/>
  <c r="AR33" i="17"/>
  <c r="CV36" i="17"/>
  <c r="CR36" i="17"/>
  <c r="CN36" i="17"/>
  <c r="CJ36" i="17"/>
  <c r="EU74" i="17" l="1"/>
  <c r="EN74" i="17"/>
  <c r="EM74" i="17"/>
  <c r="EL74" i="17"/>
  <c r="EK74" i="17"/>
  <c r="EJ74" i="17"/>
  <c r="AC74" i="17"/>
  <c r="AB74" i="17"/>
  <c r="AA74" i="17"/>
  <c r="Z74" i="17"/>
  <c r="I74" i="17"/>
  <c r="EO72" i="17"/>
  <c r="EN72" i="17"/>
  <c r="EM72" i="17"/>
  <c r="EL72" i="17"/>
  <c r="EK72" i="17"/>
  <c r="EJ72" i="17"/>
  <c r="ER90" i="17" s="1"/>
  <c r="AC72" i="17"/>
  <c r="AB72" i="17"/>
  <c r="AA72" i="17"/>
  <c r="Z72" i="17"/>
  <c r="Y72" i="17"/>
  <c r="X72" i="17"/>
  <c r="I72" i="17"/>
  <c r="H72" i="17"/>
  <c r="EN71" i="17"/>
  <c r="EM71" i="17"/>
  <c r="EL71" i="17"/>
  <c r="EJ71" i="17"/>
  <c r="ER89" i="17" s="1"/>
  <c r="AC71" i="17"/>
  <c r="AB71" i="17"/>
  <c r="AA71" i="17"/>
  <c r="Z71" i="17"/>
  <c r="Y71" i="17"/>
  <c r="X71" i="17"/>
  <c r="I71" i="17"/>
  <c r="H71" i="17"/>
  <c r="EN70" i="17"/>
  <c r="EM70" i="17"/>
  <c r="EL70" i="17"/>
  <c r="EJ70" i="17"/>
  <c r="ER88" i="17" s="1"/>
  <c r="AC70" i="17"/>
  <c r="AB70" i="17"/>
  <c r="AA70" i="17"/>
  <c r="Z70" i="17"/>
  <c r="Y70" i="17"/>
  <c r="X70" i="17"/>
  <c r="I70" i="17"/>
  <c r="H70" i="17"/>
  <c r="EN69" i="17"/>
  <c r="EM69" i="17"/>
  <c r="EL69" i="17"/>
  <c r="EJ69" i="17"/>
  <c r="ER87" i="17" s="1"/>
  <c r="ER91" i="17" s="1"/>
  <c r="AC69" i="17"/>
  <c r="AC73" i="17" s="1"/>
  <c r="AB69" i="17"/>
  <c r="AB73" i="17" s="1"/>
  <c r="AA69" i="17"/>
  <c r="AA73" i="17" s="1"/>
  <c r="Z69" i="17"/>
  <c r="Y69" i="17"/>
  <c r="Y73" i="17" s="1"/>
  <c r="X69" i="17"/>
  <c r="X73" i="17" s="1"/>
  <c r="I69" i="17"/>
  <c r="I73" i="17" s="1"/>
  <c r="H69" i="17"/>
  <c r="H73" i="17" s="1"/>
  <c r="X68" i="17"/>
  <c r="Y68" i="17" s="1"/>
  <c r="Y67" i="17"/>
  <c r="Y66" i="17"/>
  <c r="Y65" i="17"/>
  <c r="Y63" i="17"/>
  <c r="A37" i="17"/>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CF36" i="17"/>
  <c r="CF6" i="17" s="1"/>
  <c r="CB36" i="17"/>
  <c r="CB6" i="17" s="1"/>
  <c r="BX36" i="17"/>
  <c r="BX6" i="17" s="1"/>
  <c r="Y36" i="17"/>
  <c r="BT35" i="17"/>
  <c r="BT6" i="17" s="1"/>
  <c r="BP35" i="17"/>
  <c r="BL35" i="17"/>
  <c r="BH35" i="17"/>
  <c r="BD35" i="17"/>
  <c r="BD6" i="17" s="1"/>
  <c r="Y35" i="17"/>
  <c r="BD34" i="17"/>
  <c r="AZ34" i="17"/>
  <c r="AZ6" i="17" s="1"/>
  <c r="AV34" i="17"/>
  <c r="AV6" i="17" s="1"/>
  <c r="Y34" i="17"/>
  <c r="X33" i="17"/>
  <c r="Y33" i="17" s="1"/>
  <c r="Y32" i="17"/>
  <c r="BP31" i="17"/>
  <c r="BP6" i="17" s="1"/>
  <c r="BL31" i="17"/>
  <c r="BH31" i="17"/>
  <c r="BH6" i="17" s="1"/>
  <c r="BD31" i="17"/>
  <c r="Y31" i="17"/>
  <c r="H31" i="17"/>
  <c r="H74" i="17" s="1"/>
  <c r="Y30" i="17"/>
  <c r="Y26" i="17"/>
  <c r="Y25" i="17"/>
  <c r="A25" i="17"/>
  <c r="A26" i="17" s="1"/>
  <c r="A27" i="17" s="1"/>
  <c r="A28" i="17" s="1"/>
  <c r="A29" i="17" s="1"/>
  <c r="A30" i="17" s="1"/>
  <c r="A31" i="17" s="1"/>
  <c r="A32" i="17" s="1"/>
  <c r="A33" i="17" s="1"/>
  <c r="A34" i="17" s="1"/>
  <c r="A24" i="17"/>
  <c r="A8" i="17"/>
  <c r="A9" i="17" s="1"/>
  <c r="A10" i="17" s="1"/>
  <c r="A11" i="17" s="1"/>
  <c r="A12" i="17" s="1"/>
  <c r="A13" i="17" s="1"/>
  <c r="A14" i="17" s="1"/>
  <c r="A15" i="17" s="1"/>
  <c r="A16" i="17" s="1"/>
  <c r="A17" i="17" s="1"/>
  <c r="A18" i="17" s="1"/>
  <c r="A19" i="17" s="1"/>
  <c r="A20" i="17" s="1"/>
  <c r="A21" i="17" s="1"/>
  <c r="A22" i="17" s="1"/>
  <c r="A23" i="17" s="1"/>
  <c r="FH6" i="17"/>
  <c r="FG6" i="17"/>
  <c r="FF6" i="17"/>
  <c r="FE6" i="17"/>
  <c r="FD6" i="17"/>
  <c r="FC6" i="17"/>
  <c r="FB6" i="17"/>
  <c r="FA6" i="17"/>
  <c r="EZ6" i="17"/>
  <c r="EY6" i="17"/>
  <c r="EX6" i="17"/>
  <c r="EW6" i="17"/>
  <c r="EV6" i="17"/>
  <c r="EU6" i="17"/>
  <c r="ET6" i="17"/>
  <c r="ES6" i="17"/>
  <c r="ER6" i="17"/>
  <c r="EQ6" i="17"/>
  <c r="EP6" i="17"/>
  <c r="EO6" i="17"/>
  <c r="EN6" i="17"/>
  <c r="EM6" i="17"/>
  <c r="EL6" i="17"/>
  <c r="EK6" i="17"/>
  <c r="EJ6" i="17"/>
  <c r="EI6" i="17"/>
  <c r="EH6" i="17"/>
  <c r="EG6" i="17"/>
  <c r="EF6" i="17"/>
  <c r="EE6" i="17"/>
  <c r="ED6" i="17"/>
  <c r="EC6" i="17"/>
  <c r="EB6" i="17"/>
  <c r="EA6" i="17"/>
  <c r="DZ6" i="17"/>
  <c r="DY6" i="17"/>
  <c r="DX6" i="17"/>
  <c r="DW6" i="17"/>
  <c r="DV6" i="17"/>
  <c r="DU6" i="17"/>
  <c r="DT6" i="17"/>
  <c r="DS6" i="17"/>
  <c r="DR6" i="17"/>
  <c r="DQ6" i="17"/>
  <c r="DP6" i="17"/>
  <c r="DO6" i="17"/>
  <c r="DN6" i="17"/>
  <c r="DM6" i="17"/>
  <c r="DL6" i="17"/>
  <c r="DK6" i="17"/>
  <c r="DJ6" i="17"/>
  <c r="DI6" i="17"/>
  <c r="DH6" i="17"/>
  <c r="DG6" i="17"/>
  <c r="DF6" i="17"/>
  <c r="DD6" i="17"/>
  <c r="DC6" i="17"/>
  <c r="DB6" i="17"/>
  <c r="CZ6" i="17"/>
  <c r="CY6" i="17"/>
  <c r="CX6" i="17"/>
  <c r="CV6" i="17"/>
  <c r="CU6" i="17"/>
  <c r="CT6" i="17"/>
  <c r="CR6" i="17"/>
  <c r="CQ6" i="17"/>
  <c r="CP6" i="17"/>
  <c r="CN6" i="17"/>
  <c r="CM6" i="17"/>
  <c r="CL6" i="17"/>
  <c r="CJ6" i="17"/>
  <c r="CI6" i="17"/>
  <c r="CH6" i="17"/>
  <c r="CE6" i="17"/>
  <c r="CD6" i="17"/>
  <c r="CA6" i="17"/>
  <c r="BZ6" i="17"/>
  <c r="BW6" i="17"/>
  <c r="BV6" i="17"/>
  <c r="BS6" i="17"/>
  <c r="BR6" i="17"/>
  <c r="BO6" i="17"/>
  <c r="BN6" i="17"/>
  <c r="BK6" i="17"/>
  <c r="BJ6" i="17"/>
  <c r="BG6" i="17"/>
  <c r="BF6" i="17"/>
  <c r="BC6" i="17"/>
  <c r="BB6" i="17"/>
  <c r="AY6" i="17"/>
  <c r="AX6" i="17"/>
  <c r="AU6" i="17"/>
  <c r="AT6" i="17"/>
  <c r="AR6" i="17"/>
  <c r="AQ6" i="17"/>
  <c r="AP6" i="17"/>
  <c r="AN6" i="17"/>
  <c r="AM6" i="17"/>
  <c r="AL6" i="17"/>
  <c r="AJ6" i="17"/>
  <c r="AI6" i="17"/>
  <c r="AH6" i="17"/>
  <c r="AF6" i="17"/>
  <c r="AE6" i="17"/>
  <c r="AD6" i="17"/>
  <c r="AC6" i="17"/>
  <c r="AB6" i="17"/>
  <c r="AA6" i="17"/>
  <c r="Z6" i="17"/>
  <c r="X6" i="17"/>
  <c r="W6" i="17"/>
  <c r="V6" i="17"/>
  <c r="U6" i="17"/>
  <c r="T6" i="17"/>
  <c r="S6" i="17"/>
  <c r="R6" i="17"/>
  <c r="Q6" i="17"/>
  <c r="P6" i="17"/>
  <c r="O6" i="17"/>
  <c r="N6" i="17"/>
  <c r="M6" i="17"/>
  <c r="L6" i="17"/>
  <c r="K6" i="17"/>
  <c r="J6" i="17"/>
  <c r="I6" i="17"/>
  <c r="H6" i="17"/>
  <c r="G6" i="17"/>
  <c r="F6" i="17"/>
  <c r="E6" i="17"/>
  <c r="D6" i="17"/>
  <c r="C6" i="17"/>
  <c r="B6" i="17"/>
  <c r="FH4" i="17"/>
  <c r="K50" i="25"/>
  <c r="I50" i="25"/>
  <c r="G50" i="25"/>
  <c r="E49" i="25"/>
  <c r="K48" i="25"/>
  <c r="I48" i="25"/>
  <c r="G48" i="25"/>
  <c r="E48" i="25"/>
  <c r="K47" i="25"/>
  <c r="I47" i="25"/>
  <c r="G47" i="25"/>
  <c r="E47" i="25"/>
  <c r="Q43" i="25"/>
  <c r="P43" i="25"/>
  <c r="J43" i="25"/>
  <c r="H43" i="25"/>
  <c r="F43" i="25"/>
  <c r="D43" i="25"/>
  <c r="L39" i="25"/>
  <c r="K39" i="25"/>
  <c r="J39" i="25"/>
  <c r="I39" i="25"/>
  <c r="H39" i="25"/>
  <c r="G39" i="25"/>
  <c r="F39" i="25"/>
  <c r="E38" i="25"/>
  <c r="F38" i="25" s="1"/>
  <c r="G38" i="25" s="1"/>
  <c r="H38" i="25" s="1"/>
  <c r="I38" i="25" s="1"/>
  <c r="L35" i="25"/>
  <c r="K35" i="25"/>
  <c r="J35" i="25"/>
  <c r="I35" i="25"/>
  <c r="H35" i="25"/>
  <c r="G35" i="25"/>
  <c r="F35" i="25"/>
  <c r="E34" i="25"/>
  <c r="F34" i="25" s="1"/>
  <c r="L31" i="25"/>
  <c r="K31" i="25"/>
  <c r="J31" i="25"/>
  <c r="I31" i="25"/>
  <c r="H31" i="25"/>
  <c r="G31" i="25"/>
  <c r="F31" i="25"/>
  <c r="M27" i="25"/>
  <c r="L27" i="25"/>
  <c r="K27" i="25"/>
  <c r="J27" i="25"/>
  <c r="I27" i="25"/>
  <c r="H27" i="25"/>
  <c r="G27" i="25"/>
  <c r="F27" i="25"/>
  <c r="L23" i="25"/>
  <c r="K23" i="25"/>
  <c r="J23" i="25"/>
  <c r="I23" i="25"/>
  <c r="H23" i="25"/>
  <c r="G23" i="25"/>
  <c r="F23" i="25"/>
  <c r="E22" i="25"/>
  <c r="F22" i="25" s="1"/>
  <c r="L19" i="25"/>
  <c r="K19" i="25"/>
  <c r="J19" i="25"/>
  <c r="I19" i="25"/>
  <c r="H19" i="25"/>
  <c r="G19" i="25"/>
  <c r="F19" i="25"/>
  <c r="E15" i="25"/>
  <c r="C11" i="25"/>
  <c r="B11" i="25"/>
  <c r="B10" i="25"/>
  <c r="H10" i="25" s="1"/>
  <c r="B9" i="25"/>
  <c r="G9" i="25" s="1"/>
  <c r="G44" i="25" s="1"/>
  <c r="C8" i="25"/>
  <c r="B8" i="25"/>
  <c r="F8" i="25" s="1"/>
  <c r="B7" i="25"/>
  <c r="J7" i="25" s="1"/>
  <c r="C5" i="25"/>
  <c r="B5" i="25"/>
  <c r="I5" i="25" s="1"/>
  <c r="C4" i="25"/>
  <c r="B4" i="25"/>
  <c r="BL6" i="17" l="1"/>
  <c r="X74" i="17"/>
  <c r="B6" i="25"/>
  <c r="M6" i="25" s="1"/>
  <c r="C10" i="25"/>
  <c r="D10" i="25" s="1"/>
  <c r="Y6" i="17"/>
  <c r="L15" i="25"/>
  <c r="F15" i="25"/>
  <c r="J15" i="25"/>
  <c r="G15" i="25"/>
  <c r="C9" i="25"/>
  <c r="D9" i="25" s="1"/>
  <c r="I15" i="25"/>
  <c r="EL73" i="17"/>
  <c r="C6" i="25"/>
  <c r="FA70" i="17"/>
  <c r="ER79" i="17" s="1"/>
  <c r="FA71" i="17"/>
  <c r="ER80" i="17" s="1"/>
  <c r="H15" i="25"/>
  <c r="K15" i="25"/>
  <c r="Z73" i="17"/>
  <c r="Y74" i="17"/>
  <c r="EM73" i="17"/>
  <c r="EN73" i="17"/>
  <c r="FA72" i="17"/>
  <c r="ER81" i="17" s="1"/>
  <c r="C7" i="25"/>
  <c r="D8" i="25"/>
  <c r="G8" i="25"/>
  <c r="H8" i="25"/>
  <c r="I8" i="25"/>
  <c r="E8" i="25"/>
  <c r="A35" i="17"/>
  <c r="A36" i="17" s="1"/>
  <c r="A6" i="17" s="1"/>
  <c r="FA69" i="17"/>
  <c r="ER78" i="17" s="1"/>
  <c r="EJ73" i="17"/>
  <c r="D11" i="25"/>
  <c r="E50" i="25" s="1"/>
  <c r="D4" i="25"/>
  <c r="I49" i="25"/>
  <c r="G5" i="25"/>
  <c r="G7" i="25"/>
  <c r="G45" i="25" s="1"/>
  <c r="K7" i="25"/>
  <c r="H9" i="25"/>
  <c r="I44" i="25" s="1"/>
  <c r="I10" i="25"/>
  <c r="J11" i="25"/>
  <c r="J38" i="25" s="1"/>
  <c r="D5" i="25"/>
  <c r="H5" i="25"/>
  <c r="H7" i="25"/>
  <c r="I45" i="25" s="1"/>
  <c r="L7" i="25"/>
  <c r="E9" i="25"/>
  <c r="E30" i="25" s="1"/>
  <c r="I9" i="25"/>
  <c r="K44" i="25" s="1"/>
  <c r="K11" i="25"/>
  <c r="F5" i="25"/>
  <c r="E5" i="25"/>
  <c r="E7" i="25"/>
  <c r="I7" i="25"/>
  <c r="K45" i="25" s="1"/>
  <c r="F9" i="25"/>
  <c r="J9" i="25"/>
  <c r="G10" i="25"/>
  <c r="L11" i="25"/>
  <c r="F7" i="25"/>
  <c r="E45" i="25" s="1"/>
  <c r="D6" i="25" l="1"/>
  <c r="I6" i="25"/>
  <c r="K46" i="25" s="1"/>
  <c r="K43" i="25" s="1"/>
  <c r="E6" i="25"/>
  <c r="E18" i="25" s="1"/>
  <c r="B3" i="25"/>
  <c r="A16" i="25" s="1"/>
  <c r="B16" i="25" s="1"/>
  <c r="K6" i="25"/>
  <c r="G6" i="25"/>
  <c r="G46" i="25" s="1"/>
  <c r="G43" i="25" s="1"/>
  <c r="L6" i="25"/>
  <c r="H6" i="25"/>
  <c r="I46" i="25" s="1"/>
  <c r="I43" i="25" s="1"/>
  <c r="J6" i="25"/>
  <c r="F6" i="25"/>
  <c r="E46" i="25" s="1"/>
  <c r="C3" i="25"/>
  <c r="FA73" i="17"/>
  <c r="ER82" i="17" s="1"/>
  <c r="D7" i="25"/>
  <c r="K38" i="25"/>
  <c r="L38" i="25" s="1"/>
  <c r="M38" i="25" s="1"/>
  <c r="N38" i="25" s="1"/>
  <c r="O38" i="25" s="1"/>
  <c r="E44" i="25"/>
  <c r="F30" i="25"/>
  <c r="G30" i="25" s="1"/>
  <c r="H30" i="25" s="1"/>
  <c r="I30" i="25" s="1"/>
  <c r="J30" i="25" s="1"/>
  <c r="K30" i="25" s="1"/>
  <c r="L30" i="25" s="1"/>
  <c r="M30" i="25" s="1"/>
  <c r="N30" i="25" s="1"/>
  <c r="O30" i="25" s="1"/>
  <c r="G34" i="25"/>
  <c r="H34" i="25" s="1"/>
  <c r="I34" i="25" s="1"/>
  <c r="J34" i="25" s="1"/>
  <c r="K34" i="25" s="1"/>
  <c r="L34" i="25" s="1"/>
  <c r="M34" i="25" s="1"/>
  <c r="N34" i="25" s="1"/>
  <c r="O34" i="25" s="1"/>
  <c r="G49" i="25"/>
  <c r="G22" i="25"/>
  <c r="H22" i="25" s="1"/>
  <c r="I22" i="25" s="1"/>
  <c r="J22" i="25" s="1"/>
  <c r="K22" i="25" s="1"/>
  <c r="L22" i="25" s="1"/>
  <c r="M22" i="25" s="1"/>
  <c r="N22" i="25" s="1"/>
  <c r="O22" i="25" s="1"/>
  <c r="K49" i="25"/>
  <c r="D3" i="25" l="1"/>
  <c r="E14" i="25"/>
  <c r="F14" i="25" s="1"/>
  <c r="F18" i="25"/>
  <c r="G18" i="25" s="1"/>
  <c r="H18" i="25" s="1"/>
  <c r="I18" i="25" s="1"/>
  <c r="J18" i="25" s="1"/>
  <c r="K18" i="25" s="1"/>
  <c r="L18" i="25" s="1"/>
  <c r="M18" i="25" s="1"/>
  <c r="N18" i="25" s="1"/>
  <c r="O18" i="25" s="1"/>
  <c r="E43" i="25"/>
  <c r="E26" i="25" l="1"/>
  <c r="F26" i="25" s="1"/>
  <c r="G14" i="25"/>
  <c r="H14" i="25" s="1"/>
  <c r="I14" i="25" s="1"/>
  <c r="J14" i="25" s="1"/>
  <c r="K14" i="25" s="1"/>
  <c r="L14" i="25" s="1"/>
  <c r="M14" i="25" s="1"/>
  <c r="N14" i="25" s="1"/>
  <c r="O14" i="25" s="1"/>
  <c r="G26" i="25" l="1"/>
  <c r="H26" i="25" s="1"/>
  <c r="I26" i="25" s="1"/>
  <c r="J26" i="25" s="1"/>
  <c r="K26" i="25" s="1"/>
  <c r="L26" i="25" s="1"/>
  <c r="M26" i="25" s="1"/>
  <c r="N26" i="25" s="1"/>
  <c r="O26" i="25" s="1"/>
  <c r="B50" i="25" l="1"/>
  <c r="B47" i="25"/>
  <c r="B45" i="25"/>
  <c r="C48" i="25"/>
  <c r="B44" i="25"/>
  <c r="R48" i="25"/>
  <c r="S48" i="25" s="1"/>
  <c r="C45" i="25"/>
  <c r="R47" i="25"/>
  <c r="S47" i="25" s="1"/>
  <c r="C50" i="25"/>
  <c r="C47" i="25"/>
  <c r="C49" i="25"/>
  <c r="C46" i="25"/>
  <c r="B48" i="25"/>
  <c r="C44" i="25"/>
  <c r="B49" i="25"/>
  <c r="B46" i="25"/>
  <c r="R50" i="25" l="1"/>
  <c r="M23" i="25" s="1"/>
  <c r="R44" i="25"/>
  <c r="M31" i="25" s="1"/>
  <c r="R46" i="25"/>
  <c r="S46" i="25" s="1"/>
  <c r="C43" i="25"/>
  <c r="B43" i="25"/>
  <c r="R45" i="25"/>
  <c r="R49" i="25"/>
  <c r="M39" i="25" l="1"/>
  <c r="S50" i="25"/>
  <c r="S44" i="25"/>
  <c r="M19" i="25"/>
  <c r="M35" i="25"/>
  <c r="S49" i="25"/>
  <c r="S45" i="25"/>
  <c r="R43" i="25"/>
  <c r="S43" i="25" l="1"/>
  <c r="M15" i="25"/>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9">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futureMetadata>
  <valueMetadata count="19">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valueMetadata>
</metadata>
</file>

<file path=xl/sharedStrings.xml><?xml version="1.0" encoding="utf-8"?>
<sst xmlns="http://schemas.openxmlformats.org/spreadsheetml/2006/main" count="3017" uniqueCount="1489">
  <si>
    <t>NO.</t>
  </si>
  <si>
    <t>IMPORTE 
ASIGNADO</t>
  </si>
  <si>
    <t xml:space="preserve">IMPORTE 
AUTORIZADO
</t>
  </si>
  <si>
    <t>RECURSO</t>
  </si>
  <si>
    <t>EMPRESA</t>
  </si>
  <si>
    <t>REPRESENTANTE</t>
  </si>
  <si>
    <t>RFC</t>
  </si>
  <si>
    <t>FECHA DEL CONTRATO</t>
  </si>
  <si>
    <t>IMPORTE CONTRATO C/IVA</t>
  </si>
  <si>
    <t>IMPORTE CONTRATO FINAL C/IVA</t>
  </si>
  <si>
    <t>SALDO DE IMPORTE ASIGNADO</t>
  </si>
  <si>
    <t>IMPORTE
ANTICIPO
C/IVA</t>
  </si>
  <si>
    <t>IMPORTE
PAGADO</t>
  </si>
  <si>
    <t>EST. 1</t>
  </si>
  <si>
    <t>EST. 2</t>
  </si>
  <si>
    <t>EST. 3</t>
  </si>
  <si>
    <t>EST. 4</t>
  </si>
  <si>
    <t>EST. 5</t>
  </si>
  <si>
    <t>EST. 6</t>
  </si>
  <si>
    <t>EST. 7</t>
  </si>
  <si>
    <t>EST. 8</t>
  </si>
  <si>
    <t>EST. 9</t>
  </si>
  <si>
    <t>EST. 10</t>
  </si>
  <si>
    <t>EST. 11</t>
  </si>
  <si>
    <t>EST. 12</t>
  </si>
  <si>
    <t>EST. 13</t>
  </si>
  <si>
    <t>EST. 14</t>
  </si>
  <si>
    <t>EST. 15</t>
  </si>
  <si>
    <t>EST. 16</t>
  </si>
  <si>
    <t>EST. 17</t>
  </si>
  <si>
    <t>EST. 18</t>
  </si>
  <si>
    <t>EST. 19</t>
  </si>
  <si>
    <t>EST. 20</t>
  </si>
  <si>
    <t>EST. 21</t>
  </si>
  <si>
    <t>EST. 22</t>
  </si>
  <si>
    <t>EST. 23</t>
  </si>
  <si>
    <t>EST. 24</t>
  </si>
  <si>
    <t>EST. 25</t>
  </si>
  <si>
    <t>EST. 26</t>
  </si>
  <si>
    <t>EST. 27</t>
  </si>
  <si>
    <t>EST. 28</t>
  </si>
  <si>
    <t>EST. 29</t>
  </si>
  <si>
    <t>EST. 30</t>
  </si>
  <si>
    <t>SALDO DEL CONTRATO</t>
  </si>
  <si>
    <t>IMPORTE ADICIONAL REQUERIDO</t>
  </si>
  <si>
    <t>AVANCE FINANCIERO</t>
  </si>
  <si>
    <t>MUNICIPIO</t>
  </si>
  <si>
    <t>REGION</t>
  </si>
  <si>
    <t>RESIDENCIA</t>
  </si>
  <si>
    <t>ACTIVIDAD</t>
  </si>
  <si>
    <t>BENEFICIARIOS</t>
  </si>
  <si>
    <t>OBSERVACIONES</t>
  </si>
  <si>
    <t>JUNTA ACLARACIONES</t>
  </si>
  <si>
    <t>VISITA OBRA</t>
  </si>
  <si>
    <t>ADJUDICACIÓN</t>
  </si>
  <si>
    <t>CONVOCATORIA/INVITACIÓN</t>
  </si>
  <si>
    <t>APERTURA</t>
  </si>
  <si>
    <t>IMPORTE CONTRATO S/IVA</t>
  </si>
  <si>
    <t xml:space="preserve">SALDO TOTAL </t>
  </si>
  <si>
    <t>INICIO CONTRATO</t>
  </si>
  <si>
    <t>TERMINO CONTRATO</t>
  </si>
  <si>
    <t>TERMINO ANTICIPADO</t>
  </si>
  <si>
    <t>AVANCE FISICO PROGRAMADO</t>
  </si>
  <si>
    <t>ESTATUS DE LA OBRA</t>
  </si>
  <si>
    <t>AMORTIZADO E1</t>
  </si>
  <si>
    <t>TOTAL AMORTIZADO</t>
  </si>
  <si>
    <t>SALDO POR AMORTIZAR</t>
  </si>
  <si>
    <t>RECISION</t>
  </si>
  <si>
    <t>SUSPENSION</t>
  </si>
  <si>
    <t>GC</t>
  </si>
  <si>
    <t>FALLO</t>
  </si>
  <si>
    <t>AVANCE FISICO 
REAL</t>
  </si>
  <si>
    <t>NO CONTRATADA</t>
  </si>
  <si>
    <t>COACALCO</t>
  </si>
  <si>
    <t>C.M.PLAZO</t>
  </si>
  <si>
    <t>C.M.MONTO</t>
  </si>
  <si>
    <t>AMORTIZADO E2</t>
  </si>
  <si>
    <t>AMORTIZADO E3</t>
  </si>
  <si>
    <t>EJERCIDO 2021</t>
  </si>
  <si>
    <t>AMORTIZADO E30</t>
  </si>
  <si>
    <t>AMORTIZADO E28</t>
  </si>
  <si>
    <t>AMORTIZADO E29</t>
  </si>
  <si>
    <t>AMORTIZADO E27</t>
  </si>
  <si>
    <t>AMORTIZADO E26</t>
  </si>
  <si>
    <t>AMORTIZADO E4</t>
  </si>
  <si>
    <t>AMORTIZADO E5</t>
  </si>
  <si>
    <t>AMORTIZADO E6</t>
  </si>
  <si>
    <t>AMORTIZADO E7</t>
  </si>
  <si>
    <t>AMORTIZADO E8</t>
  </si>
  <si>
    <t>AMORTIZADO E9</t>
  </si>
  <si>
    <t>AMORTIZADO E10</t>
  </si>
  <si>
    <t>AMORTIZADO E11</t>
  </si>
  <si>
    <t>AMORTIZADO E12</t>
  </si>
  <si>
    <t>AMORTIZADO E13</t>
  </si>
  <si>
    <t>AMORTIZADO E14</t>
  </si>
  <si>
    <t>AMORTIZADO E15</t>
  </si>
  <si>
    <t>AMORTIZADO E16</t>
  </si>
  <si>
    <t>AMORTIZADO E17</t>
  </si>
  <si>
    <t>AMORTIZADO E18</t>
  </si>
  <si>
    <t>AMORTIZADO E19</t>
  </si>
  <si>
    <t>AMORTIZADO E20</t>
  </si>
  <si>
    <t>AMORTIZADO E21</t>
  </si>
  <si>
    <t>AMORTIZADO E22</t>
  </si>
  <si>
    <t>AMORTIZADO E23</t>
  </si>
  <si>
    <t>AMORTIZADO E24</t>
  </si>
  <si>
    <t>AMORTIZADO E25</t>
  </si>
  <si>
    <t>TOTAL PAGADO</t>
  </si>
  <si>
    <t>IMPORTE
PAGADO DEL ANTICIPO</t>
  </si>
  <si>
    <t xml:space="preserve">TOTAL =   </t>
  </si>
  <si>
    <t>ATRASO FISICO</t>
  </si>
  <si>
    <t>NÚMERO
DE
CONTROL</t>
  </si>
  <si>
    <t>OBRA O ACCIÓN</t>
  </si>
  <si>
    <t>NÚMERO
CONTRATO</t>
  </si>
  <si>
    <t xml:space="preserve">DIRECCIÓN </t>
  </si>
  <si>
    <t>TELÉFONO</t>
  </si>
  <si>
    <t>NO. OFICIO ASIGNACIÓN</t>
  </si>
  <si>
    <t>NO. OFICIO AUTORIZACIÓN</t>
  </si>
  <si>
    <t>NO. OFICIO CANCELACIÓN</t>
  </si>
  <si>
    <t>FECHA DE INGRESO A DGIG
(EST 1)</t>
  </si>
  <si>
    <t>FECHA DE INGRESO A DGIG
(EST 7)</t>
  </si>
  <si>
    <t>FECHA DE INGRESO A DGIG
(EST 6)</t>
  </si>
  <si>
    <t>FECHA DE INGRESO A DGIG
(EST 5)</t>
  </si>
  <si>
    <t>FECHA DE INGRESO A DGIG
(EST 4)</t>
  </si>
  <si>
    <t>FECHA DE INGRESO A DGIG
(EST 3)</t>
  </si>
  <si>
    <t>FECHA DE INGRESO A DGIG
(EST 2)</t>
  </si>
  <si>
    <t>FECHA DE INGRESO A DGIG
(EST 8)</t>
  </si>
  <si>
    <t>FECHA DE INGRESO A DGIG
(EST 9)</t>
  </si>
  <si>
    <t>FECHA DE INGRESO A DGIG
(EST 10)</t>
  </si>
  <si>
    <t>Q</t>
  </si>
  <si>
    <t>TOTAL DEVENGADO</t>
  </si>
  <si>
    <t>SALDO POR PAGAR</t>
  </si>
  <si>
    <t xml:space="preserve"> </t>
  </si>
  <si>
    <t>PAD 2022</t>
  </si>
  <si>
    <t>COATEPEC HARIAS</t>
  </si>
  <si>
    <t>AMPLIACIÓN Y REHABILITACIÓN DE LA RED  DE DISTRIBUCIÓN DE AGUA POTABLE EN LA CABECERA MUNICIPAL DE COATEPEC HARINAS. (OBRA NUEVA)</t>
  </si>
  <si>
    <t>REPOSICIÓN DEL POZO PROFUNDO "LA GARITA" EN CABECERA MUNICIPAL, MUNICIPIO DE COACALCO. (OBRA NUEVA)</t>
  </si>
  <si>
    <t>REPOSICIÓN DEL POZO PROFUNDO "LOS SABINOS" EN COLONIA BOSQUES DEL VALLE MUNICIPIO DE COACALCO. (OBRA NUEVA)</t>
  </si>
  <si>
    <t xml:space="preserve">TONANITLA </t>
  </si>
  <si>
    <t>FUENTES</t>
  </si>
  <si>
    <t xml:space="preserve">COATEPEC HARINAS </t>
  </si>
  <si>
    <t xml:space="preserve">AGUA POTABLE </t>
  </si>
  <si>
    <t>PERFORACIÓN, DESARROLLO Y AFORO DE POZO PROFUNDO, EQUIPAMIENTO ELECTROMECÁNICO, TANQUE ELEVADO Y LÍNEA DE CONDUCCIÓN DE AGUA POTABLE EN LA CABECERA MUNICIPAL DE TONANITLA (ZONA DEPORTIVO). (OBRA NUEVA)</t>
  </si>
  <si>
    <t>PERFORACIÓN, DESARROLLO Y AFORO DE POZO PROFUNDO, EQUIPAMIENTO ELECTROMECÁNICO, TANQUE ELEVADO Y LÍNEA DE CONDUCCIÓN DE AGUA POTABLE EN LA CABECERA MUNICIPAL DE TONANITLA. (OBRA NUEVA)</t>
  </si>
  <si>
    <t>OFICIOS 2022 ASIGNACIÓN, AUTORIZACIÓN Y CANCELACIÓN\20704000L-APAD-OF-0004-22.pdf</t>
  </si>
  <si>
    <t>OZUMBA</t>
  </si>
  <si>
    <t>SUR</t>
  </si>
  <si>
    <t>AGUA POTABLE</t>
  </si>
  <si>
    <t>CONCLUIDA</t>
  </si>
  <si>
    <t>POZOS</t>
  </si>
  <si>
    <t>PROCESO</t>
  </si>
  <si>
    <t>TOLUCA</t>
  </si>
  <si>
    <t>ECATEPEC</t>
  </si>
  <si>
    <t>TCO141020RT5</t>
  </si>
  <si>
    <t>JOCOTITLÁN</t>
  </si>
  <si>
    <t>ATLACOMULCO</t>
  </si>
  <si>
    <t>DUCOI, S.A. DE C.V.</t>
  </si>
  <si>
    <t>DUC180628R5A</t>
  </si>
  <si>
    <t>NORTE</t>
  </si>
  <si>
    <t>CSU130306VEA</t>
  </si>
  <si>
    <t>COATEPEC HARINAS</t>
  </si>
  <si>
    <t>SANEAMIENTO</t>
  </si>
  <si>
    <t>PONIENTE</t>
  </si>
  <si>
    <t>ORIENTE</t>
  </si>
  <si>
    <t xml:space="preserve">GUCOC, S.A. DE C.V. </t>
  </si>
  <si>
    <t>GUC140123RRA</t>
  </si>
  <si>
    <t>CONSTRUSERVICIOS VH, S.A. DE C.V.</t>
  </si>
  <si>
    <t>SCV990406DI5</t>
  </si>
  <si>
    <t>TENANGO DEL AIRE</t>
  </si>
  <si>
    <t>SAN MATEO ATENCO</t>
  </si>
  <si>
    <t>DRENAJE</t>
  </si>
  <si>
    <t>CGI790301QD9</t>
  </si>
  <si>
    <t>TIMILPAN</t>
  </si>
  <si>
    <t>CA CONSTRUCCIÓN, S.A. DE C.V.</t>
  </si>
  <si>
    <t>CCO0207118IA</t>
  </si>
  <si>
    <t>CHAPA DE MOTA</t>
  </si>
  <si>
    <t>PBI140912AC9</t>
  </si>
  <si>
    <t>CALLE 20 DE NOVIEMBRE NÚMERO 345, COLONIA ÁLVARO OBREGÓN, SAN MATEO ATENCO, MÉXICO.
C.P. 52105</t>
  </si>
  <si>
    <t>TEJUPILCO</t>
  </si>
  <si>
    <t>SAN JOSÉ DEL RINCÓN</t>
  </si>
  <si>
    <t>CONSULTORES OLMHERK, S.A DE C.V.</t>
  </si>
  <si>
    <t>COL130319MG9</t>
  </si>
  <si>
    <t>TONATICO</t>
  </si>
  <si>
    <t>CONSTRUCTORA MOGUEL MEZA, S.A. DE C.V.</t>
  </si>
  <si>
    <t>ING. GILBERTO MOGUEL MEZA</t>
  </si>
  <si>
    <t>CMM870310765</t>
  </si>
  <si>
    <t>COMERCIALIZADORA GUIR, S.A. DE C.V.</t>
  </si>
  <si>
    <t>CGU960129TN2</t>
  </si>
  <si>
    <t>AVENIDA ALFREDO DEL MAZO 1032, SANTA CRUZ ATZCAPOTZALTONGO, TOLUCA, MÉXICO.
C.P. 50290</t>
  </si>
  <si>
    <t>TUR121213EJ3</t>
  </si>
  <si>
    <t>ING. JOSÉ ENRIQUE MAZA COTERO</t>
  </si>
  <si>
    <t>VCO840530AJA</t>
  </si>
  <si>
    <t xml:space="preserve">MORELOS
</t>
  </si>
  <si>
    <t xml:space="preserve">ATLACOMULCO
</t>
  </si>
  <si>
    <t>C. GERMÁN ROBERTO LÓPEZ LÓPEZ</t>
  </si>
  <si>
    <t>GDR140606KAA</t>
  </si>
  <si>
    <t>PAD REFRENDO 2022</t>
  </si>
  <si>
    <t>ING. GUSTAVO BERRELLEZA VALDEZ</t>
  </si>
  <si>
    <t>CBM8901119S0</t>
  </si>
  <si>
    <t>CONSTRUCCIONES Y PERFORACIONES ZYER, S.A. DE C.V.</t>
  </si>
  <si>
    <t>ING. ERIC LIRA LÓPEZ</t>
  </si>
  <si>
    <t>CPZ9705275C3</t>
  </si>
  <si>
    <t xml:space="preserve">ACTA ENTREGA RECEPCIÓN </t>
  </si>
  <si>
    <t>REHABILITACIÓN DE LA LÍNEA DE CONDUCCIÓN DE AGUA POTABLE PARA LA LOCALIDAD DE SAN MATEO HUITZILZINGO, MUNICIPIO DE CHALCO (OBRA NUEVA).</t>
  </si>
  <si>
    <t>CAEM-DGIG-FID-001-22-CS</t>
  </si>
  <si>
    <t>CHALCO</t>
  </si>
  <si>
    <t>FID 1928 2021</t>
  </si>
  <si>
    <t>OFICIOS 2022 ASIGNACIÓN, AUTORIZACIÓN Y CANCELACIÓN\20704000L-APAD-OF-0450-21.pdf</t>
  </si>
  <si>
    <t>CALLE BRAVO NTE. NÚMERO EXTERIOR 307, INTERIOR 116, TOLUCA DE LERDO CENTRO, TOLUCA, MÉXICO.
C.P. 50000</t>
  </si>
  <si>
    <t>CONSTRUCCIÓN DEL COLECTOR EN LA LOCALIDAD SAN JOAQUÍN DEL MONTE 2DA. ETAPA, MUNICIPIO DE VILLA VICTORIA (OBRA NUEVA).</t>
  </si>
  <si>
    <t>EM TRAI, S.A. DE C.V.</t>
  </si>
  <si>
    <t>C. OSCAR VICENTE BACA OROZCO</t>
  </si>
  <si>
    <t>ETR15096V8A</t>
  </si>
  <si>
    <t>AVENIDA EJIDO NÚMERO EXTERIOR 4, NÚMERO INTERIOR LOCAL 1, COLONIA VISTA ALEGRE, ACAPULCO DE JUÁREZ, GUERRERO
C.P.39560</t>
  </si>
  <si>
    <t>NO INICIADA</t>
  </si>
  <si>
    <t>VILLA VICTORIA</t>
  </si>
  <si>
    <t>CONSTRUCCIÓN DE LA RED DE ATARJEAS DE LA ZONA DE INFLUENCIA DEL COLECTOR JAMAPA, EN ARAGÓN TERCERA SECCIÓN, EN EL MUNICIPIO DE ECATEPEC (OBRA NUEVA)</t>
  </si>
  <si>
    <t>TUNELEO Y URBANIZACIONES, S.A. DE C.V.</t>
  </si>
  <si>
    <t>PERFORACIÓN, DESARROLLO Y AFORO DE POZO PROFUNDO, PARA EL BARRIO DE SAN JOSÉ LA LOMA DE LA LOCALIDAD DE SAN JUAN ZITLALTEPEC, MUNICIPIO DE ZUMPANGO (OBRA NUEVA)</t>
  </si>
  <si>
    <t>PROMAES, S.A. DE C.V.</t>
  </si>
  <si>
    <t>ZUMPANGO</t>
  </si>
  <si>
    <t>REPOSICIÓN DE POZO PROFUNDO DE AGUA POTABLE, OBRA CIVIL EQUIPAMIENTO ELECTROMECÁNICO Y ELECTRIFICACIÓN JAJALPA MUNICIPIO DE ECATEPEC (OBRA NUEVA).</t>
  </si>
  <si>
    <t>CONSTRUCCIÓN DE POZO PROFUNDO DE AGUA POTABLE, EQUIPAMIENTO Y OBRAS COMPLEMENTARIAS POZO JARDÍN GUADALUPANO, MUNICIPIO DE ECATEPEC (OBRA NUEVA).</t>
  </si>
  <si>
    <t>CONTRUCCIÓN DE POZO PROFUNDO DE AGUA POTABLE, EQUIPAMIENTO Y OBRAS COMPLEMENTARIAS VALLE DE GUADIANA, MUNICIPIO DE ECATEPEC (OBRA NUEVA).</t>
  </si>
  <si>
    <t>CONSTRUCCIÓN DE POZO PROFUNDO DE AGUA POTABLE, EQUIPAMIENTO Y OBRAS COMPLEMENTARIAS POZO LA POPULAR, MUNICIPIO DE ECATEPEC (OBRA NUEVA).</t>
  </si>
  <si>
    <t>C. HUMBERTO LÓPEZ MARTÍNEZ</t>
  </si>
  <si>
    <t>PRO091005GA0</t>
  </si>
  <si>
    <t>CALLE SAN FELIPE NÚMERO 7, COLONIA TECÁMAC DE FELIPE VILLANUEVA CENTRO, TECÁMAC, MÉXICO.
C.P. 55740</t>
  </si>
  <si>
    <t>LIC. OSCAR VALLEJO FIERRO</t>
  </si>
  <si>
    <t>CALLE 5 DE FEBRERO ORIENTE NÚMERO EXTERIOR 552, NÚMERO INTERIOR 2, COLONIA BELLAVISTA, METEPEC, MÉXICO.
C.P.52172</t>
  </si>
  <si>
    <t>TERMINACIÓN DE LA RED DE AGUA POTABLE PARA LA COMUNIDAD HOSPITAL 2 ESTRELLAS MUNICIPIO DE VILLA VICTORIA, ESTADO DE MÉXICO (OBRA NUEVA)</t>
  </si>
  <si>
    <t>FID 1928 2022</t>
  </si>
  <si>
    <t>OFICIOS 2022 ASIGNACIÓN, AUTORIZACIÓN Y CANCELACIÓN\20704000L-APAD-OF-0186-22.pdf</t>
  </si>
  <si>
    <t xml:space="preserve">CAEM-DGIG-FID-017-22-CS
</t>
  </si>
  <si>
    <t xml:space="preserve">CAEM-DGIG-FID-014-22-CS
</t>
  </si>
  <si>
    <t>CONSTRUCCIÓN DEL SISTEMA DE AGUA POTABLE PARA LA COMUNIDAD DE OJOS DE AGUA Y (CREAR-SEDENA), MUNICIPIO DE VALLE DE BRAVO. (OBRA NUEVA)</t>
  </si>
  <si>
    <t>VALLE DE BRAVO</t>
  </si>
  <si>
    <r>
      <t xml:space="preserve">CAEM-DGIG-FID-020-22-CS
</t>
    </r>
    <r>
      <rPr>
        <sz val="12"/>
        <color rgb="FFFF0000"/>
        <rFont val="Arial"/>
        <family val="2"/>
      </rPr>
      <t xml:space="preserve">
</t>
    </r>
  </si>
  <si>
    <t>REHABILITACIÓN DE LA LÍNEA DE CONDUCCIÓN Y REDES DE DISTRIBUCIÓN DE SAN AGUSTÍN BUENAVISTA BARRIO VISTA HERMOSA, MUNICIPIO DE SOYANIQUILPAN (OBRA NUEVA).</t>
  </si>
  <si>
    <t>OFICIOS 2022 ASIGNACIÓN, AUTORIZACIÓN Y CANCELACIÓN\20704000L-APAD-OF-0603-19.pdf</t>
  </si>
  <si>
    <t>FID 1928 2019</t>
  </si>
  <si>
    <t>GRUPO TENAY, S.A. DE C.V.</t>
  </si>
  <si>
    <t>C. SIXTO PALMA POSADAS</t>
  </si>
  <si>
    <t>GTE200818BM8</t>
  </si>
  <si>
    <t>SOYANIQUILPAN</t>
  </si>
  <si>
    <t>CALLE ALDAMA SUR NÚMERO 305, COLONIA SAN MATEO OXTOTITLÁN, TOLUCA, MÉXICO.
C.P.50100</t>
  </si>
  <si>
    <t>PERFORACIÓN DE POZO PROFUNDO  CON EQUIPAMIENTO ELECTROMCÁNICO, BARDA PERIMETRAL Y CASETA DE CONTROL COLONIA BUENAVISTA, PARTE BAJA MUNICIPIO DE TULTITLÁN (OBRA NUEVA).</t>
  </si>
  <si>
    <t>CONSTRUCCIÓN DE ESTRUCTURAS DE CONTROL DE AVENIDAS EN LA COLONIA LA LIBERTAD, CANAL LAS CRUCES, MUNICIPIO DE TULTITLÁN (OBRA NUEVA).</t>
  </si>
  <si>
    <t>OFICIOS 2022 ASIGNACIÓN, AUTORIZACIÓN Y CANCELACIÓN\20704000L-APAD-0234-22.pdf</t>
  </si>
  <si>
    <t>TULTITLÁN</t>
  </si>
  <si>
    <t>OFICIOS 2022 ASIGNACIÓN, AUTORIZACIÓN Y CANCELACIÓN\20704000L-APAD-OF-1242-21.pdf</t>
  </si>
  <si>
    <t>ACAMBAY</t>
  </si>
  <si>
    <t>EQUIPAMIENTO ELECTROMECÁNICO DE POZO Y AMPLIACIÓN DEL SISTEMA DE AGUA POTABLE EN PIEDRAS ANCHAS (PRIMERA DEL MONTE) Y COLONIA GUADALUPE, MUNICIPIO DE COATEPEC HARINAS (OBRA NUEVA).</t>
  </si>
  <si>
    <t>EQUIPAMIENTO ELECTROMECÁNICO DE POZO PROFUNDO, LÍNEA DE CONDUCCIÓN Y RED DE DISTRIBUCIÓN DEL SISTEMA DE AGUA POTABLE EN LA LOCALIDAD DE BUENAVISTA, MUNICIPIO DE ACAMBAY DE RUÍZ CASTAÑEDA (OBRA NUEVA).</t>
  </si>
  <si>
    <t>PROAGUA 2022</t>
  </si>
  <si>
    <t>PERFORACIÓN, DESARROLLO Y AFORO DE POZO PROFUNDO (HASTA 300 M) EN LA LOCALIDAD DE CUATRO CABALLERÍAS, MUNICIPIO DE NEXTLALPAN (OBRA NUEVA).</t>
  </si>
  <si>
    <t>NEXTLALPAN</t>
  </si>
  <si>
    <t>PERFORACIÓN, DESARROLLO Y AFORO DE POZO PROFUNDO (HASTA 400 M) EN LA COMUNIDAD DE AMOLA (SAN ISIDRO AMOLA), MUNICIPIO DE OCUILAN (OBRA NUEVA).</t>
  </si>
  <si>
    <t>OCUILAN</t>
  </si>
  <si>
    <t>EQUIPAMIENTO ELECTROMECÁNICO DE POZO PROFUNDO, LÍNEA DE CONDUCCIÓN Y RED DE DISTRIBUCIÓN DEL SISTEMA DE AGUA POTABLE EN LA LOCALIDAD DE SAN MARTÍN AHUATEPEC, MUNICIPIO DE OTUMBA (OBRA NUEVA)</t>
  </si>
  <si>
    <t>OTUMBA</t>
  </si>
  <si>
    <t>EQUIPAMIENTO ELECTROMECÁNICO Y LÍNEA DE CONDUCCIÓN DE POZO PROFUNDO EN JALTEPEC CENTRO, MUNICIPIO DE SAN JOSÉ DEL RINCÓN (OBRA NUEVA).</t>
  </si>
  <si>
    <t>EQUIPAMIENTO ELECTROMECÁNICO Y LÍNEA DE CONDUCCIÓN DE POZO PROFUNDO EN SAN MIGUEL EL CENTRO, MUNICIPIO DE SAN JOSÉ DEL RINCÓN (OBRA NUEVA).</t>
  </si>
  <si>
    <t>PERFORACIÓN, DESARROLLO Y AFORO DE POZO PROFUNDO (HASTA 400 M) EN LA COMUNIDAD DE GUARDA SAN ANTONIO PLAZA DE GALLOS, MUNICIPIO DE SAN JOSÉ DEL RINCÓN (OBRA NUEVA).</t>
  </si>
  <si>
    <t>TENANCINGO</t>
  </si>
  <si>
    <t>AMPLIACIÓN Y REHABILITACIÓN DE LA RED  DE AGUA POTABLE DEL BARRIO POTHÉ, MUNICIPIO DE TEMOAYA (OBRA NUEVA).</t>
  </si>
  <si>
    <t>TEMOAYA</t>
  </si>
  <si>
    <t xml:space="preserve">AMPLIACIÓN Y REHABILITACIÓN DEL SISTEMA DE AGUA POTABLE EN LA COMUNIDAD DE LOS BERROS, MUNICIPIO DE VILLA DE ALLENDE (OBRA NUEVA). </t>
  </si>
  <si>
    <t>VILLA DE ALLENDE</t>
  </si>
  <si>
    <t>AMPLIACIÓN Y REHABILITACIÓN DE ALCANTARILLADO SANITARIO EN ACULCO DE ESPINOZA, MUNICIPIO DE ACULCO (OBRA NUEVA).</t>
  </si>
  <si>
    <t>ACULCO</t>
  </si>
  <si>
    <t>EQUIPAMIENTO ELECTROMECÁNICO DE POZO PROFUNDO, LÍNEA DE CONDUCCIÓN Y RED DE DISTRIBUCIÓN EN LA COMUNIDAD DE LA PASTORÍA, MUNICIPIO DE ATENCO. (ETAPA 1 DE 2) (OBRA NUEVA).</t>
  </si>
  <si>
    <t>ATENCO</t>
  </si>
  <si>
    <t>EQUIPAMIENTO ELECTROMECÁNICO DE POZO PROFUNDO, LÍNEA DE CONDUCCIÓN EN LA COLONIA SAN PABLO HUANTEPEC, MUNICIPIO DE JILOTEPEC (OBRA NUEVA).</t>
  </si>
  <si>
    <t>JILOTEPEC</t>
  </si>
  <si>
    <t>PERFORACIÓN, DESARROLLO Y AFORO DE POZO PROFUNDO (HASTA 150 M) EN LA COMUNIDAD DE VILLA LUVIANOS, MUNICIPIO DE LUVIANOS (OBRA NUEVA).</t>
  </si>
  <si>
    <t>LUVIANOS</t>
  </si>
  <si>
    <t>AMPLIACIÓN DE LA RED DE AGUA POTABLE EN LA LOCALIDAD DE MALINALCO, MUNICIPIO DE MALINALCO (OBRA NUEVA).</t>
  </si>
  <si>
    <t>MALINALCO</t>
  </si>
  <si>
    <t>PERFORACIÓN, DESARROLLO Y AFORO DE POZO PROFUNDO (HASTA 400 M) EN LA COMUNIDAD DE SAN MIGUEL JALTOCAN, MUNICIPIO DE NEXTLALPAN (OBRA NUEVA).</t>
  </si>
  <si>
    <t>CONSTRUCCIÓN DE LÍNEA DE CONDUCCIÓN Y RED DE DISTRIBUCIÓN DE AGUA POTABLE EN LA LOCALIDAD DE SULTEPEC DE PEDRO ASCENCIO DE ALQUISIRAS, MUNICIPIO DE SULTEPEC (OBRA NUEVA)</t>
  </si>
  <si>
    <t>SULTEPEC</t>
  </si>
  <si>
    <t>TEZOYUCA</t>
  </si>
  <si>
    <t>EQUIPAMIENTO ELECTROMECÁNICO DE POZO PROFUNDO, LÍNEA DE CONSUCCIÓN Y TANQUE DE REGULACIÓN DE AGUA POTABLE EN LA LOCALIDAD DE TONATICO, MUNICIPIO DE TONATICO (OBRA NUEVA).</t>
  </si>
  <si>
    <t>AMPLIACIÓN Y REHABILITACIÓN DE LA RED DE DISTRIBUCIÓN DE AGUA POTABLE EN LA COLONIA SANTA ISABEL IXTAPAN, MUNICIPIO DE ATENCO, (ETAPA 1 DE 2) (OBRA NUEVA).</t>
  </si>
  <si>
    <t>REHABILITACIÓN DE LA LÍNEA DE CONDUCCIÓN REBOMBEO LA PAZ A TANQUE ZAPATA, MUNICIPIO DE LA PAZ (OBRA NUEVA).</t>
  </si>
  <si>
    <t>LA PAZ</t>
  </si>
  <si>
    <t>AMPLIACIÓN Y REHABILITACIÓN DEL SISTEMA DE AGUA POTABLE EN LA LOCALIDAD DE SANTIAGO TEPOPULA, MUNICIPIO DE TENANGO DEL AIRE (OBRA NUEVA).</t>
  </si>
  <si>
    <t>REHABILITACIÓN DEL SISTEMA DE AGUA POTABLE DE LA COMUNIDAD DE SANTA MARÍA TECUANULCO, MUNICIPIO DE TEXCOCO (OBRA NUEVA).</t>
  </si>
  <si>
    <t>TEXCOCO</t>
  </si>
  <si>
    <t>OFICIOS 2022 ASIGNACIÓN, AUTORIZACIÓN Y CANCELACIÓN\20704000L-APAD-0247-22.pdf</t>
  </si>
  <si>
    <t>FECHA DE INGRESO A DGIG
(EST 11)</t>
  </si>
  <si>
    <t>FECHA DE INGRESO A DGIG
(EST 12)</t>
  </si>
  <si>
    <t>FECHA DE INGRESO A DGIG
(EST 13)</t>
  </si>
  <si>
    <t>FECHA DE INGRESO A DGIG
(EST 14)</t>
  </si>
  <si>
    <t>FECHA DE INGRESO A DGIG
(EST 15)</t>
  </si>
  <si>
    <t>FECHA DE INGRESO A DGIG
(EST 16)</t>
  </si>
  <si>
    <t>FID 1928 2020</t>
  </si>
  <si>
    <t>CONTROL DE EROSIÓN, S.A. DE C.V.</t>
  </si>
  <si>
    <t xml:space="preserve">ING. ALEJANDRO VÁZQUEZ MORTERA </t>
  </si>
  <si>
    <t>CER86063072A</t>
  </si>
  <si>
    <t>CCC910121AT2</t>
  </si>
  <si>
    <t>FID 1928 2017</t>
  </si>
  <si>
    <t>FID 1928 2018</t>
  </si>
  <si>
    <t>SUPERVISIÓN</t>
  </si>
  <si>
    <t>LIC. ADIB SAADE VALDESPINO</t>
  </si>
  <si>
    <t>FINAL</t>
  </si>
  <si>
    <t>EAT810430956</t>
  </si>
  <si>
    <t>TERMINACIÓN ANTICIPADA</t>
  </si>
  <si>
    <t>C. JOSÉ DE JESÚS ESCOBAR CORREA</t>
  </si>
  <si>
    <t>CONSTRUCCIÓN DEL COLECTOR DE ALIVIO LA PAZ, EN LA CABECERA MUNICIPAL DE LA PAZ. (OBRA NUEVA)</t>
  </si>
  <si>
    <t>RESUMEN PAD 2021</t>
  </si>
  <si>
    <t>RESUMEN PROAGUA 2021</t>
  </si>
  <si>
    <t>RESUMEN FID 2021</t>
  </si>
  <si>
    <t>RESUMEN FID 2017 A 2020</t>
  </si>
  <si>
    <t>BORRAR AL HABER REGISTRADO OFICIOS</t>
  </si>
  <si>
    <t xml:space="preserve">DIRECCION </t>
  </si>
  <si>
    <t>TELEFONO</t>
  </si>
  <si>
    <t>REGIÓN</t>
  </si>
  <si>
    <t>Construcción de planta de tratamiento en la Cabecera Municipal de Chiautla, Estado de México</t>
  </si>
  <si>
    <t>203200-APAD-OF-0549/18</t>
  </si>
  <si>
    <t>Sin Contrato</t>
  </si>
  <si>
    <t>sin contrato</t>
  </si>
  <si>
    <t>NI</t>
  </si>
  <si>
    <t>Chiautla</t>
  </si>
  <si>
    <t>Norte</t>
  </si>
  <si>
    <t>Pago de adeudo, asunto de la dgaj</t>
  </si>
  <si>
    <t xml:space="preserve">Ampliación del Sistema de agua potable Dos Estrellas, Municipio de Villa Victoria
</t>
  </si>
  <si>
    <t>Villa Victoria</t>
  </si>
  <si>
    <t>Tejupilco</t>
  </si>
  <si>
    <t>Recursos no contratados para poner en operación la obra</t>
  </si>
  <si>
    <t>Construcción de Colectores en la Cabecera municipal (2 Etapa), Cocotitlán</t>
  </si>
  <si>
    <t>203200-APAD-OF-1581/18</t>
  </si>
  <si>
    <t>Cocotitlán</t>
  </si>
  <si>
    <t>Sur</t>
  </si>
  <si>
    <t>La residencia preparará  paquete para su licitación (EYP revisa el proyecto a licitar)</t>
  </si>
  <si>
    <t>Construcción de sistema de tratamiento de San Andrés Metla, municipio de Cocotitlán (AGC-0684)</t>
  </si>
  <si>
    <t>La residencia preparará  paquete para su licitación</t>
  </si>
  <si>
    <t>Construcción de línea de conducción  y tanque de regulación de San Luis Tecuauhtitlán, Temascalapa</t>
  </si>
  <si>
    <t>Temascalapa</t>
  </si>
  <si>
    <t>Oriente</t>
  </si>
  <si>
    <t>LOS RECURSOS SON PARA CIERRE DE CONTRATO
QUEDA PENDIENTE POR PARTE DE LA RESIDENCIA DETERMIANR EL IMPORTE DEL RECURSO PARA CONCLUIR LA OBRA Y REHABILITACION DEL EQUIPAMIENTO TODA VEZ QUE FUE BANDALIZADO
La residencia presentará paquete de contratación la semana del 17/12/18</t>
  </si>
  <si>
    <t>Construcción de la planta de tratamiento de aguas residuales en la Localidad de Ocopulco, Municipio de Chiautla.</t>
  </si>
  <si>
    <t>203200-APAD-OF-0603/19 ASIG $</t>
  </si>
  <si>
    <t>SE TIENE AVANCE AL RESPECTO?
29/10/2020
residente de fecha de recorrido con el ing maqueda (plantear un par de fechas)
pendiente elaborar exp tecnico por parte de la residencia
en conjunto con el ayuntamientio
ya se entrego al municipio, se realizará cita, en espera de apoyo de eyp para determinar los alcances, en espera de la definición
El recurso si se ejercerá
Obra no iniciada
17/02/2020
la DGOAE modificará el equipo para que se obtenga agua con la Norma requerida para lo que demanda el proyecto, esto se informa en reunión del día 11/02/2020 por parte de la DGOAE
Actualmente se encuentra operando por el Municipio de Chiautla, se encuentra compuesta por las siguientes estructuras: Canal de Pretratamiento, Reactor Anaerobio, Filtro Percolar, Sedimentador Secundario, Canal de desinfección, Lecho de Secados y Caseta de Operación. 
Personal de la CAEM, realizara visitas periódicas, a las instalaciones, con la finalidad de verificar el proceso de estabilización.</t>
  </si>
  <si>
    <t>Construcción de planta de tratamiento en san miguel Ixtapan, municipio de Tejupilco</t>
  </si>
  <si>
    <t>Obra no iniciada
La obra será el punto de descarga del drenaje Proyecto y construcción de PTAR
el lic solicito enviar pficios pero el mpio no queire recibir, en  base a eso se rasiganra, en proceso de conjuntar la documentacion</t>
  </si>
  <si>
    <t>Rehabilitación de la línea de conducción y redes de distribución de San Agustín Buenavista Barrio Vista Hermosa, Municipio de Soyaniquilpan</t>
  </si>
  <si>
    <t>Soyaniquilpan</t>
  </si>
  <si>
    <t>Atlacomulco</t>
  </si>
  <si>
    <t>Obra sin iniciar 
en revision el paquete de licitacion por parte de la dgph
no se ha elaborado la ficha aun, informa la dgph que ya envio las observaciones enviará copia de ese ofico</t>
  </si>
  <si>
    <t>Reposición de 9,650 m. de línea de conducción con tubería de acero de 42" de diámetro, incluye ruptura y reposición de pavimento, excavación con relleno compactado con material de banco, Municipio de Nezahualcóyotl</t>
  </si>
  <si>
    <t>20704000L-APAD-OF-0064/20
20704000L-CAPAD-OF-1239/20</t>
  </si>
  <si>
    <t>Nezahualcóyotl</t>
  </si>
  <si>
    <t>VERIFICAR CON EL LIC. EDUARDO GIL EL ESTATUS
se verificará exp con ing max firme el boletin y se podrán definir los alcances
En espera de contratación, 
si se utilizarán los recursos</t>
  </si>
  <si>
    <t>Trabajos complementarios del sistema de agua potable cabecera de indígenas</t>
  </si>
  <si>
    <t>20704000L-APAD-OF-0064/20</t>
  </si>
  <si>
    <t>Donato Guerra</t>
  </si>
  <si>
    <t>Obra nueva
en espera de catalfgo paquete etc etc</t>
  </si>
  <si>
    <t>Sistema de Drenaje Cahuacán Barrio (Ejido Cahuacán), Santa María Magdalena Cahuacán</t>
  </si>
  <si>
    <t>Nicolás Romero</t>
  </si>
  <si>
    <t>Poniente</t>
  </si>
  <si>
    <t>Obra nueva
el ing max hizo recorrido pendiente definir alcances de proyecto
DEFINIENDO ALCANCES DEL PROYECTO, SE TIENE AVANCE?
 ver con la rediencia
 y rodrigo rico</t>
  </si>
  <si>
    <t>Rehabilitación de la línea de conducción de la planta potabilizadora de la Cabecera Municipal de Tenancingo</t>
  </si>
  <si>
    <t>Tenancingo</t>
  </si>
  <si>
    <t>Coatepec Harinas</t>
  </si>
  <si>
    <t>Obra nueva</t>
  </si>
  <si>
    <t>Rehabilitación de planta de tratamiento de aguas residuales en San Juan Tezompa, Santa Catarina Ayotzingo, municipio de Chalco.</t>
  </si>
  <si>
    <t xml:space="preserve">207024000L-APAD-OF-0172/20
</t>
  </si>
  <si>
    <t>Chalco</t>
  </si>
  <si>
    <t>Por definir</t>
  </si>
  <si>
    <t>Obra nueva en proceso de contratación verirficar expediente tecnico
en proceso de contratacion
se envia la ficha el 30/10/2020</t>
  </si>
  <si>
    <t>Equipamiento electromecánico de un pozo, caeta, barda perimetral, línea de conducción, para conectar a la red existente</t>
  </si>
  <si>
    <t xml:space="preserve">207024000L-APAD-OF-0295/20
</t>
  </si>
  <si>
    <t>Construcción de Cárcamo para aguas pluviales en San Mateo Atenco</t>
  </si>
  <si>
    <t>San Mateo Atenco</t>
  </si>
  <si>
    <t>Toluca</t>
  </si>
  <si>
    <t xml:space="preserve">Obra nueva
en proceso de definicion entre la dgph y la dgih y deyp
El recurso de 12 mdp de FID 1928 2020 de la obra Construcción de Cárcamo para aguas pluviales en San Mateo Atenco, con anterioridad se tuvieron pláticas y revisiones de proyecto pero dada la complejidad de la construcción se había comentado que no alcanzaría para su ejecución entonces a la fecha lo adecuado con esa obra es que la DGIH solicite a la DGPH se reasigne y se revise el proyecto original para que actualice, ajuste o se reahaga un proyecto adecuado y se solicite el recurso requerido, esta información la comenté con Ing. Jesús Maqueda de la DGPH que asiste a las conciliaciones </t>
  </si>
  <si>
    <t>Equipamiento electromecánico del pozo en el municipio de Villa de Allende</t>
  </si>
  <si>
    <t>Villa de Allende</t>
  </si>
  <si>
    <t xml:space="preserve">Obra nueva
definiendo alcancexc concluyendo la perforacion se genera </t>
  </si>
  <si>
    <t>Infraestructura de agua potable, construcción del tanque de 100 m3 de capacidad y línea de interconexión del tanque a la red de distribución en la comunidad de el Arco, Valle de Bravo</t>
  </si>
  <si>
    <t>Valle de Bravo</t>
  </si>
  <si>
    <t>se tiene conocimientro del paquete deconcurso
Obra nueva en proceso de contratación verirficar expediente tecnico
e duplicaron trabajos con el otro contrato entonces no se va a contratar hasta concluir las observaciones</t>
  </si>
  <si>
    <t>Construcción de planta de tratamiento de aguas residuales y emisores en San Juan Tezompa y Santa Catarina Ayotzingo, Chalco.</t>
  </si>
  <si>
    <t>203200-APAD-OF-0330/16
203200-APAD-OF-0617/16
203200-CAPAD-1994/16
203200-CAPAD-OF-2121/16</t>
  </si>
  <si>
    <t>FID 1928 2016</t>
  </si>
  <si>
    <t>Construcciones Berrelleza Macedo, S.A. de C.V.</t>
  </si>
  <si>
    <t>CAEM-DGIG-FID-003-15-CP 
CAEM DGIG-FID-003-15-CP CA</t>
  </si>
  <si>
    <t>P</t>
  </si>
  <si>
    <t xml:space="preserve">Obra global en proceco
Contrato concluido, sin operar
Obra global en proceso.
Recurso ejercido
</t>
  </si>
  <si>
    <t>Rehabilitación de la línea de conducción de agua potable de la Comunidad de San Gabriel, Chapa de Mota</t>
  </si>
  <si>
    <t>203200-APAD-OF-1174/18
20704000L-APAD-OF-2117/18</t>
  </si>
  <si>
    <t>Pavimentos y Concretos de Toluca, S.A. de C.V.</t>
  </si>
  <si>
    <t>CAEM-DGIG-FID-033-20-CS</t>
  </si>
  <si>
    <t xml:space="preserve">1°
26/04/2021
25/05/2021
</t>
  </si>
  <si>
    <t>Chapa de Mota</t>
  </si>
  <si>
    <t>Terminación de la construcción y equipamiento de la plantas tratadoras de aguas residuales de San Gabriel y Cabecera Municipal, Chapa de Mota</t>
  </si>
  <si>
    <t>20704000L-APAD-OF-0127/19
20704000L-APAD-OF-1751/19</t>
  </si>
  <si>
    <t>CAEM-DGIG-FID-018-20-CS</t>
  </si>
  <si>
    <t>10/11/2021
(FINAL)</t>
  </si>
  <si>
    <t>08/06/2021
22/07/2021</t>
  </si>
  <si>
    <t>1era
21/12/2020
07/06/2021</t>
  </si>
  <si>
    <t xml:space="preserve">1ERA SUSPENSIÓN FORMALIZADA 
REPROGRAMACIÓN SE DEVOLVIO A DGIH POR OBSEVACIONES DE DGIG </t>
  </si>
  <si>
    <t>Construcción de la Línea Metropolitana.</t>
  </si>
  <si>
    <t>203200-APAD-OF-0431/19
20704000L-APAD-OF-0797/19 AUT
20704000L-APAD-OF-1281/19 AUT</t>
  </si>
  <si>
    <t>Construcciones Berrelleza Macedo, S.A. de C.V.
Constructora y arrendadora Rema, S.A. de C.V.</t>
  </si>
  <si>
    <t xml:space="preserve">CAEM-DGIG-FMVM-163-16-CP
CAEM-DGIG-FID-165-16-CP
</t>
  </si>
  <si>
    <t>p</t>
  </si>
  <si>
    <t>Más de un Municipio</t>
  </si>
  <si>
    <t>Obra global suspendida
Pago de trabajos ejecutados</t>
  </si>
  <si>
    <t>Construcción de línea de conducción y tanque de regulación de San Luis Tecuauhtitlán Municipio de Temascalapa</t>
  </si>
  <si>
    <t>203200-APAD-OF-0603/19 ASIG $
20704000LAPAD-OF-1723/19 AUT
20704000L-APAD-OF-1742/19</t>
  </si>
  <si>
    <t>Grupo RILH, S.A. de C.V.</t>
  </si>
  <si>
    <t>CAEM-DGIG-FID-155-19-CP
CAEM-DGIG-FID-155-19-CP convenio adicional</t>
  </si>
  <si>
    <t>23/12/2019
01/09/2020</t>
  </si>
  <si>
    <t>21/03/2020
15/10/2020</t>
  </si>
  <si>
    <t xml:space="preserve">Obra en proceso
Derivado a que los recursos autorizados para el contrato y convenio adicional ya fueron ejercidos al 100%, con fecha 03 de agosto del presente año se solicitó a la dirección de construcción el trámite de la entrega – recepción de los trabajos.
La actividad de la electrificación con CFE se realizara a cargo de un nuevo contrato.
</t>
  </si>
  <si>
    <t>Construcción de línea y red de distribución de agua potable para San Simón El Alto, Municipio de Malinalco</t>
  </si>
  <si>
    <t>20704000L-APAD-OF-0603/19 ASIG
20704000L-APAD-OF-1518/19 AUT</t>
  </si>
  <si>
    <t>Green Estructuras y Obras, S.A. de C.V.</t>
  </si>
  <si>
    <t>CAEM-DGIG-FID-093-20-CS</t>
  </si>
  <si>
    <t>Malinalco</t>
  </si>
  <si>
    <r>
      <t xml:space="preserve">Obra en proceso
</t>
    </r>
    <r>
      <rPr>
        <sz val="10"/>
        <color rgb="FF0000FF"/>
        <rFont val="Arial"/>
        <family val="2"/>
      </rPr>
      <t xml:space="preserve">
en proceso de cierre administrativo</t>
    </r>
    <r>
      <rPr>
        <sz val="10"/>
        <rFont val="Arial"/>
        <family val="2"/>
      </rPr>
      <t xml:space="preserve">
La contratista esta en espera de que CFE Región Tenango del Valle autorice el servicio de contratación de energía eléctrica, cuyos trabajos están siendo supervisados a cargo de la Subdirección de obra Electromecánica, la fecha probable de término, es el 30 de agosto de 2021.</t>
    </r>
  </si>
  <si>
    <t>Construcción de línea de conducción de agua potable del tramo vía corta a Morelia a Tanque Libertad en la Cabecera Municipal de Nicolás Romero</t>
  </si>
  <si>
    <t>203200-APAD-OF-0603/19 ASIG $
20704000L-APAD-OF-1729/19</t>
  </si>
  <si>
    <t>Constructora Enloga, S.A. de C.V.</t>
  </si>
  <si>
    <t>C. ENRIQUE LÓPEZ GRACÍA</t>
  </si>
  <si>
    <t>CEN-020402689</t>
  </si>
  <si>
    <t>SOR JUANA INÉS DE LA CRUZ, NÚMERO 9, COLONIA CACALOMACAN, TOLUCA, MÉXICO.
C.P.50265</t>
  </si>
  <si>
    <t>CAEM-DGIG-FID-037-20 CP</t>
  </si>
  <si>
    <t>1ER
12/04/2021
12/06/2021</t>
  </si>
  <si>
    <t xml:space="preserve">
1ERA
15/03/2021
23/04/2021
2DA
24/05/2021
28/02/2022
</t>
  </si>
  <si>
    <t>OFICIOS 2021 ASIGNACIÓN, AUTORIZACIÓN Y CANCELACIÓN\20704000L-AMPAD-OF-1252-20.pdf</t>
  </si>
  <si>
    <t xml:space="preserve">Rehabilitación de los tanques Luis Donaldo Colosio y líneas de alimentación para zona norte del sistema de agua potable de la cabecera municipal en Atizapán de Zaragoza.
</t>
  </si>
  <si>
    <t xml:space="preserve">207024000L-AP
AD-OF-0172/20
20704000L-APAD-OF-1191/20
</t>
  </si>
  <si>
    <t>Control de Erosion, S.A. de C.V.</t>
  </si>
  <si>
    <t>ING. ALEJANDRO VÁZQUEZ MORTERA</t>
  </si>
  <si>
    <t>CALLE SIERRA NEVADA N° 255, COLONIA LOMAS DE CHAPULTEPEC V SECCIÓN, ALCALDÍA MIGUEL HIDALGO, CIUDAD DE MÉXICO. 
C.P.11000</t>
  </si>
  <si>
    <t>CAEM-DGIG-FID-210-20-CP</t>
  </si>
  <si>
    <t>1ERA
31/05/2021
29/11/2021</t>
  </si>
  <si>
    <t>Atizapán de Zaragoza</t>
  </si>
  <si>
    <t>Rehabilitación del sistema de tratamiento de San Andrés Metla, municipio de Cocotitlán.</t>
  </si>
  <si>
    <t>PROVANOMIC, S.A. de C.V.</t>
  </si>
  <si>
    <t>C. VÍCTOR HERNÁNDEZ MUÑOZ</t>
  </si>
  <si>
    <t>PRO071024AV6</t>
  </si>
  <si>
    <t>CALLE NUESTRA SEÑORA DE GUADALUPE MZ 11 LT 1, COLONIA LA GUADALUPANA, MUNICIPIO DE ECATEPEC DE MORELOS, MÉXICO.
C.P. 55060</t>
  </si>
  <si>
    <t>CAEM-DGIG-FID-206-20-CS</t>
  </si>
  <si>
    <t xml:space="preserve">
En proceso de terminación anticipada
</t>
  </si>
  <si>
    <t>Ampliación y rehabilitación del sistema de agua potable de San Miguel Almoloyan, municipio de Almoloya de Juárez .</t>
  </si>
  <si>
    <t>20704000L-APAD-OF-0172/20
20704000L-APAD-OF-1169/20</t>
  </si>
  <si>
    <t>ADIBSA Construcciones, S.A. de C.V.</t>
  </si>
  <si>
    <t>ACO-160707FRA</t>
  </si>
  <si>
    <t>SIEMBRA NÚMERO 194,COLONIA JAVIER ROJO GÓMEZ, PACHUCA DE HIDALGO.
C.P.42030</t>
  </si>
  <si>
    <t>CAEM-DGIG-FID-172-20-CP</t>
  </si>
  <si>
    <t>1ERA
02/06/2021
31/08/2021
2DA
09/11/2021
20/11/2021</t>
  </si>
  <si>
    <r>
      <t xml:space="preserve">1ERA
20/08/2021
18/10/2021
</t>
    </r>
    <r>
      <rPr>
        <sz val="10"/>
        <color rgb="FFFF0000"/>
        <rFont val="Arial"/>
        <family val="2"/>
      </rPr>
      <t xml:space="preserve">
2DA
</t>
    </r>
  </si>
  <si>
    <t>SUSPENDIDA</t>
  </si>
  <si>
    <t>Almoloya de Juárez</t>
  </si>
  <si>
    <t xml:space="preserve">Equipamiento de pozo profundo y línea de conducción de agua potable en la localidad de San Miguel Tenochtitlán municipio de Jocotitlán. </t>
  </si>
  <si>
    <t>Excavaciones y Acarreos TAYDE, S.A. de C.V.</t>
  </si>
  <si>
    <t>OSCAR ISRAEL PÉREZ RIVERA</t>
  </si>
  <si>
    <t>CALLE HERMENEGILDO GALEANA N° 221, COLONIA CENTRO, TOLUCA, ESTADO DE MÉXICO.
C.P. 50000</t>
  </si>
  <si>
    <t>CAEM-DGIG-FID-233-20-CP</t>
  </si>
  <si>
    <t>13/07/2021
09/12/2021</t>
  </si>
  <si>
    <t>1°
13/07/2020
10/09/2021</t>
  </si>
  <si>
    <t>Jocotitlán</t>
  </si>
  <si>
    <t>Ampliación y rehabilitación del sistema de agua potable de la cabecera municipal, municipio de La Paz. etapa 1  de 2.</t>
  </si>
  <si>
    <t xml:space="preserve">207024000L-APAD-OF-0172/20
20704000LAPAD-OF-1209/20
</t>
  </si>
  <si>
    <t>Edificaciones y Obras Santa Fe, S.A. de C.V.</t>
  </si>
  <si>
    <t>LIC. FELIPE DE JESÚS IBARRA VALDEZ</t>
  </si>
  <si>
    <t>EOS0705301X0</t>
  </si>
  <si>
    <t>BLVD ZACATECAS NTE. N°1291, COLONIA JARDINES DE ZACATECAS, LOS MOCHIS, MUNICIPIO DE AHOME, SINALOA, MÉXICO.
C.P. 81249</t>
  </si>
  <si>
    <t>CAEM-DGIG-FID-211-20-CP</t>
  </si>
  <si>
    <t>20/10/2021
1  EST AJ COST</t>
  </si>
  <si>
    <t>EST 5
08/11/2021</t>
  </si>
  <si>
    <t>03/02/2022
2 AJUST C</t>
  </si>
  <si>
    <t>EST 6</t>
  </si>
  <si>
    <t>3 AJUSTE DE COSTO</t>
  </si>
  <si>
    <t>4 AJUSTE DE COSTO</t>
  </si>
  <si>
    <t>26/11/2021
16/12/2021</t>
  </si>
  <si>
    <t>07/12/2021
16/02/2022</t>
  </si>
  <si>
    <t>La Paz</t>
  </si>
  <si>
    <r>
      <t xml:space="preserve">
</t>
    </r>
    <r>
      <rPr>
        <b/>
        <sz val="10"/>
        <color rgb="FF0000FF"/>
        <rFont val="Arial"/>
        <family val="2"/>
      </rPr>
      <t>2DA SUSPENSIÓN EN REVISIÓN Y VISTO BUENO
REPROGRAMACIÓN EN REVISIÓN POR DGIG (13/01/2022)</t>
    </r>
  </si>
  <si>
    <t>Rehabilitación de la línea de conducción del sistema Chichotla, de la caja No. 5 a la caja No. 9, municipio de Temascaltepec</t>
  </si>
  <si>
    <t>Grupo TRES R Termotécnica, S.A. de C.V.
Construcciones y Perforaciones ZYER, S.A. de C.V.</t>
  </si>
  <si>
    <t>C. JOSÉ JESÚS MANUEL SAUCEDO LEÓN</t>
  </si>
  <si>
    <t>GRUPO TRES R TERMOTECNICA, S.A. DE C.V.
GTR-920413-BJ4
CONSTRUCCIONES Y PEFORACIONES ZYER, S.A. DE C.V.
CPZ-970527-5C3</t>
  </si>
  <si>
    <t>GRUPO TRES R TERMOTECNICA, S.A. DE C.V.
PEDREGAL NÚMERO 24, PISO 9-901, COLONIA MOLINO DEL REY, ALCALDÍA MIGUEL HIDALGO, CIUDAD DE MÉXICO, C.P. 11040
CONSTRUCCIONES Y PEFORACIONES ZYER, S.A. DE C.V.
CALLE FRANCISCO PATIÑO N° 100 EDIF. 12, DESP 104, COL. J. JIMÉNEZ GALLARDO, METEPEC, MÉXICO, C.P. 52169</t>
  </si>
  <si>
    <t>GRUPO TRES R TERMOTECNICA, S.A. DE C.V.
5555353632
CONSTRUCCIONES Y PEFORACIONES ZYER, S.A. DE C.V.
7222701875</t>
  </si>
  <si>
    <t>CAEM-DGIG-FID-173-20-CP</t>
  </si>
  <si>
    <t>1ERA
02/05/2021
25/06/2021
2DA
26/06/2021
23/08/2021
16/11/2021
31/12/2021</t>
  </si>
  <si>
    <t xml:space="preserve">1ERA
12/01/2021
30/03/2021
2DA
30/03/2021
29/06/2021
</t>
  </si>
  <si>
    <t>Temascaltepec</t>
  </si>
  <si>
    <r>
      <t xml:space="preserve">1ERA Y 2DA SUSPENSIÓN FORMALIZADA
1ERA Y 2DA REPROGRAMACIÓN FORMALIZADA
</t>
    </r>
    <r>
      <rPr>
        <b/>
        <sz val="10"/>
        <color rgb="FF0000FF"/>
        <rFont val="Arial"/>
        <family val="2"/>
      </rPr>
      <t xml:space="preserve">EN REVISIÓN EN DGIG LA 3ERA REPROGRAMACIÓN </t>
    </r>
  </si>
  <si>
    <t>Ampliacion de los sistemas de agua potable de San Pedro Tultepec</t>
  </si>
  <si>
    <t>203200-AGIS-OF-1784/11
20704000LCAPAD-OF-2000/11</t>
  </si>
  <si>
    <t>FID 1928 2011</t>
  </si>
  <si>
    <t>GRUPO BARKUS, S.A. DE C.V.</t>
  </si>
  <si>
    <t>CAEM-DGIG-FID-225-12-CS</t>
  </si>
  <si>
    <t>PS</t>
  </si>
  <si>
    <t>Lerma</t>
  </si>
  <si>
    <t>Obra suspendida
No se ha llevado a cabo la terminación anticipada.</t>
  </si>
  <si>
    <t>Rehabilitación de la red de agua potable en San Andrés de los Gama, Temascaltepec.</t>
  </si>
  <si>
    <t>20320-AGIS-OF-0471-13
203200-AGIS-OF-1727/13</t>
  </si>
  <si>
    <t>FID 1928 2013</t>
  </si>
  <si>
    <t>Grupo Farsaglia, S.A. de C.V.</t>
  </si>
  <si>
    <t>CAEM-DGIG-FID-240-13-CS</t>
  </si>
  <si>
    <t xml:space="preserve">obra suspendida
Falta la fontanería de 2 (dos) tanques, instalación de piezas especiales, construcción de cajas de válvulas, reposición de concreto y asfalto y rehabilitación de captación existente, así mismo el dptto. de obra electromecánica tiene en trámite ante estudio y proyectos, la adecuación y cálculo de la capacidad del equipo de bombeo a  suministrar e instalar en la obra.
Se le solicitó a la empresa que presente su estimación de finiquito en ceros y su balance de materiales, así como su expediente de entrega recepción total.
</t>
  </si>
  <si>
    <t>Terminación de construcción del sistema de alcantarillado La Trampa Grande,  San José del Rincón.</t>
  </si>
  <si>
    <t>20320-AGIS-OF-0897/13</t>
  </si>
  <si>
    <t>San José del Rincón</t>
  </si>
  <si>
    <t>Obra suspendida</t>
  </si>
  <si>
    <t>Construcción de cárcamo de bombeo y emisor a presión para las aguas residuales de la Cabecera Municipal.</t>
  </si>
  <si>
    <t>203200-APAD-OF-1930/14
203200-APAD-OF-2016/14
203200-APAD-OF-2031/14
203200-CAPAD-OF-2087/14</t>
  </si>
  <si>
    <t>FID 1928 2014</t>
  </si>
  <si>
    <t>Gradje Construcciones, S.A. de C.V.</t>
  </si>
  <si>
    <t>CAEM-DGIG-FID-224-12-CS
CAEM-DGIG-FID-224-12-CS CA
CAEM-DGIG-FID-224-15-CS</t>
  </si>
  <si>
    <t>Xonacatlán</t>
  </si>
  <si>
    <t xml:space="preserve">No se pudo ejecutar:
Cruzamientos especiales del Sistema Cutzamala                               
Cruce del Rio Lerma                                                                            
Situación actual: No fue factible obtener la autorización de los permisos gestionados ante la CONAGUA para el cruce del Río Lerma y cruce de las líneas del Cutzamala, por lo cual nos de pudo dar continuidad a la obra. En proceso autorización de gastos no recuperables.
En el 2019 se envía oficio 2070 a la empresa notificándole la suspensión de la obra.
Obra suspendida (acta de suspensión del 26/09/17), proyecto a la DGPH
Se encuentra pendiente, por parte de la dirección de estudios y proyectos y la dirección general de asuntos jurídicos, la obtención del permiso ante la CONAGUA para el cruzamiento del rio Lerma y las líneas de conducción del sistema Cutzamala, lo cual se solicito de manera oficial a la DEYP y a la DGAJ. Se acordó encontrar una solución que sea mas practica por parte de estudios y proyectos.
</t>
  </si>
  <si>
    <t>Construcción del sistema de alcantarillado sanitario y colectores de aguas residuales para la comunidad de San Mateo (Primera etapa).</t>
  </si>
  <si>
    <t>203200-APAD-0961/16
203200-APAD-1264/16
203200-APAD-OF-2147/16 
20704000L-CAPAD-OF-2221/16</t>
  </si>
  <si>
    <t>Tuneleo y Urbanizaciones S.A. de C.V.</t>
  </si>
  <si>
    <t>CAEM-DGIG-FID-010-17-CS
Adéndum</t>
  </si>
  <si>
    <t>Amanalco</t>
  </si>
  <si>
    <t>Obra suspendida 
Obra suspendida desde el 02/3/18 por parte de la empresa, ya que la comunidad no permite el colado de concreto sobre la parte de obra ejecutada, exigiendo el colado completo del ancho total de la calle del tramo del pozo número 8 al 9.
Se encuentyra en tramite de suspencion temporal con fecha 31/07/2018 se lleva a cabo el recorrido fisico en obra para conciliar la est no. 5 de ajuste.
se concilia con la empresa la última estimación que presentó ya que para esta el contrato está agotado y de acuerdo a los números de esta residencia, sobran recursos para concluir los trabajos.
recurso a ejercer</t>
  </si>
  <si>
    <t xml:space="preserve">Rehabilitación y ampliación del sistema de agua potable en la comunidad de Rincón Vivero (El Maracaná). municipio de Santo Tomás. </t>
  </si>
  <si>
    <t>203200-APAD-OF-1259/16
203200-APAD-OF-1984/16</t>
  </si>
  <si>
    <t>Constructora Suargón, S.A. de C.V.</t>
  </si>
  <si>
    <t>CAEM-DGIG-FID-010-15-LPN</t>
  </si>
  <si>
    <t>Santo Tomás</t>
  </si>
  <si>
    <t xml:space="preserve">Obra suspendida 
Ante el incumplimiento de los trabajos por parte de la empresa, se determina iniciar con el proceso de rescisión del contrato
</t>
  </si>
  <si>
    <t>Construcción del sistema de agua potable en San Jerónimo Acazulco, municipio de Ocoyoacac.</t>
  </si>
  <si>
    <t>203200-APAD-1264/16
203200-APAD-OF-1971/16
203200-APAD-OF-2014/16</t>
  </si>
  <si>
    <t>Constructora Moguel Meza, S.A. de C.V.</t>
  </si>
  <si>
    <t>CAEM-DGIG-FID-242-15-CP
CAEM-DGIG-FID-242-15-CP CA</t>
  </si>
  <si>
    <t>Ocoyoacac</t>
  </si>
  <si>
    <t xml:space="preserve">Obra global EN PROCESO
26/06/2019
Contrato concluido
No se ha concluido por problemática social, Debido que las autoridades del Tren Interurbano no han cumplido con las demandas de la comunidad
Con avance lento las obras del tren suburbano no permiten el avance de las obras.
</t>
  </si>
  <si>
    <t>Conclusión de la construcción de la red de distribución de agua potable de la Col. Álvaro Obregón.</t>
  </si>
  <si>
    <t>203200-APAD-0961/16</t>
  </si>
  <si>
    <t>Celso Raymundo Ramírez Ornelas</t>
  </si>
  <si>
    <t>CAEM-DGIG-FID-252-15-CS CA</t>
  </si>
  <si>
    <t xml:space="preserve">Obra suspendida.
En espera de que se confirme la situación legal, toda vez que que la persona física que se le asigno el contrato falleció.
Las autoridades locales y el Comité de agua potable parcialmente han puesto en operación la red de distribución construida por esta comisión en una primera Etapa. Pendiente reposición pavimento aproximadamente 450 m
Existe problemática social para la puesta en operación de la red de distribución construida por esta comisión en una primera etapa misma que servirá para alimentar la red de distribución construida en la segunda etapa.
Por incumplimiento de la empresa para la terminación de la obra se aplicaran las penas convencionales y sanciones estipulaas en el contrato.
</t>
  </si>
  <si>
    <t>Construcción de colector La Marquesa.</t>
  </si>
  <si>
    <t>203200-APAD-OF-0330/16
203200-APAD-OF-0847/16</t>
  </si>
  <si>
    <t>CAEM-DGIG-FID-117-14-CS</t>
  </si>
  <si>
    <t>Contrato concluido y no opera
Obra global suspendida
por falta de proyecto integral</t>
  </si>
  <si>
    <t>Continuidad de la construcción del colector La Marquesa (Cruces con la autopista México - Toluca) Ocoyoacac.</t>
  </si>
  <si>
    <t xml:space="preserve">203200-APAD-OF-0330/16
203200-APAD-OF-2148/16
20704000L-CAPAD-OF-2221/16 </t>
  </si>
  <si>
    <t>CAEM-DGIG-FID-007-17-CS</t>
  </si>
  <si>
    <t>Contrato concluido y no opera
Obra global suspendida por falta del proyecto integral</t>
  </si>
  <si>
    <t>Construcción de la planta de tratamiento de aguas residuales para la Cabecera Municipal de Temamatla.</t>
  </si>
  <si>
    <t>203200-APAD-OF-0467/17
20704000L-APAD-OF-2087/17 AUT</t>
  </si>
  <si>
    <t>Valsi Infraestructura, S.A. de C.V.</t>
  </si>
  <si>
    <t>CAEM-DGIG-FID-116-15-CP</t>
  </si>
  <si>
    <t>Temamatla</t>
  </si>
  <si>
    <t xml:space="preserve">Obra suspendida  
15/10/2019
Situación actual, derivado de  nota informativa
La planta de tratamiento se construye sobre una laguna de oxidación a la cual descargan las aguas servidas de las localidades de Santiago Zula.
Para un gasto de 25 LPS
Por temporada de lluvias y falta de recursos, la PTAR sufre deterioro por la presencia de inundaciones.
Como consecuencia se pueden ocasionar problemas sociales y foco de infección en la comunidad de Santiago Zula.
Contrato caem-dgig-protar-116-15-cp, 
Empresa valsi infraestructura, s.a. de c.v
Falta de pago de estimaciones del 9 a la 11 por un impote de (1.2 MDP)
</t>
  </si>
  <si>
    <t>Construcción de sistema de tratamiento de San Andrés Metla.  (AGC-0684).</t>
  </si>
  <si>
    <t>203200-APAD-OF-0148/17
203200-APAD-OF-0467/17
203200-APAD-OF-0922/17
203200-CAPAD-OF-1022/17</t>
  </si>
  <si>
    <t>Lupsa Construcciones, S.A. de C.V.</t>
  </si>
  <si>
    <t>CAEM-DGIG-FID-345-15-CP CA</t>
  </si>
  <si>
    <t xml:space="preserve">Obra suspendida
Parte de los recursos se cancelan y se reasignan, se requiere 2.9 mdp para concluir la obra
Lupsa construcciones, s.a. de c.v.
</t>
  </si>
  <si>
    <t>Rehabilitación y ampliación del sistema de agua potable en la comunidad de Rincón Vivero (El Maracaná).</t>
  </si>
  <si>
    <t>203200-APAD-OF-0467/17
203200-APAD-OF-1344/17</t>
  </si>
  <si>
    <t>Construcción del drenaje sanitario en la localidad de El Salitre. 1ra etapa de dos.</t>
  </si>
  <si>
    <t>203200-APAD-OF-0467/17
203200-APAD-OF-1872/17
20704000L-CAPAD-OF-2067/17
20704000L-APAD-OF-2096/17</t>
  </si>
  <si>
    <t>Grupo de Ingenieros y Abogados Especialistas en Obra y Servicios, Giaeos, S.A. de C.V.</t>
  </si>
  <si>
    <t>CAEM-DGIG-FID-187-17-AD</t>
  </si>
  <si>
    <t xml:space="preserve">Obra suspendida 
En proceso de rescisión de contrato (falta dictamen de Jurídico)
La empresa elabora la estimación de trabajos ejecutados al 14/004/18 de los cuales con fecha 03/12/18 se conciliaron los volúmenes y hasta esta fecha no lo han presentado a la Residencia las correcciones.
</t>
  </si>
  <si>
    <t>Construcción del colector La Marquesa.</t>
  </si>
  <si>
    <t>203200-APAD-OF-0148/17
203200-APAD-OF-0467/17
20704000L-APAD-OF-2099/17</t>
  </si>
  <si>
    <t>Consorcio Mexicano de Infraestructura HVC, S.A. de C.V.</t>
  </si>
  <si>
    <t>CAEM-DGIG-FID-193-17-CS</t>
  </si>
  <si>
    <t>Contrato con Terminación anticipada.
Obra global suspendida
Falta de proyecto integral
Con fecha 20/02/19 se formaliza acta de terminación anticipada.</t>
  </si>
  <si>
    <t>Construcción del sistema de agua potable en San Jerónimo Acazulco.</t>
  </si>
  <si>
    <t>203200-APAD-OF-1033/17
203200-APAD-OF-1614/17
 20704000L-CAPAD-OF-2067/17</t>
  </si>
  <si>
    <t>CAEM-DGIG-FID-178-17-AD</t>
  </si>
  <si>
    <t>Primera etapa para la construcción de tanque elevado de regulación, línea de alimentación e interconexión a la red de distribución del Barrio San Miguelito, Municipio de Capulhuac.</t>
  </si>
  <si>
    <t>203200-APAD-OF-1036/17
203200-APAD-OF-1491/17
 20704000L-CAPAD-OF-2067/17</t>
  </si>
  <si>
    <t>Proyecto e Ingeniería en Construcciones Huitzquilitl, S.A. de C.V.</t>
  </si>
  <si>
    <t>CAEM-DGIG-FID-004-18-CS</t>
  </si>
  <si>
    <t>Capulhuác</t>
  </si>
  <si>
    <t>Obra suspendida
17/06/2019
En espera de tener reunión con el Presidente Municipal y el Síndico para determinar la propuesta del Comité de Agua, de quien va a realizar el suministro de energía, CFE o el Sistema de Aguas de la Ciudad de México (el suministro de energía lo hace el Sistema de Aguas de l ciudad de México o lo contrata la empresa)</t>
  </si>
  <si>
    <t>Construcción del primer módulo de la planta de tratamiento de aguas residuales y colector para la Cabecera Municipal de Zinacantepec  (Primera etapa).</t>
  </si>
  <si>
    <t>203200-APAD-OF-0148/17
203200-APAD-OF-0507/17
203200-APAD-OF-0631/17
20704000L-CAPAD-OF-2067/17</t>
  </si>
  <si>
    <t>Coconal, S.A.P.I. de C.V.</t>
  </si>
  <si>
    <t>CAEM-DGIG-FID-004-15-CP
CAEM-DGIG-FID-004-15-CP CA</t>
  </si>
  <si>
    <t>Zinacantepec</t>
  </si>
  <si>
    <t>Obra suspendida. 14/6/18
Problemática social
Planta de tratamiento fuera de servicio, debido a vandalismo registrado en las instalaciones, la subdirección de asuntos jurídicos dedujo ante ministerio público el robo de cable y daños a las instalaciones eléctricas.
Continúa la problemática social para la construcción de los colectores. 
Se requiere que esta planta sea operada por la dirección de operación ante la negativa del ayuntamiento para la recepción de la misma, argumentando que no cuenta con recursos para su operación.</t>
  </si>
  <si>
    <t>Construcción del sistema de agua potable en San Jerónimo Acazulco</t>
  </si>
  <si>
    <t>203200-APAD-OF-0106/18
203200-APAD-OF-0434/18
20704000L-CAPAD-OF-2120/18</t>
  </si>
  <si>
    <t>CAEM-DGIG-FID-011-18-AD</t>
  </si>
  <si>
    <t xml:space="preserve">OBRA GLOBAL EN PROCESO
Obra suspendida
No se ha concluido por problemática social, Debido que las autoridades del Tren Interurbano no han cumplido con las demandas de la comunidad
En trámite el contrato de electrificación ante CFE
Se terminaron los trabajos de la red de distribución, se tiene pendiente  el cruce en el intervalo que comprende al tren interurbano México-Toluca en el Km 34.3, no permite la ejecución de 50m
Se concluyó con la reposición del pavimento de las tomas domiciliarias. Siguen los trámites con la CFE. Se terminaron los trabajos de la red de distribución, quedando pendiente únicamente el cruce en el intervalo que comprende al tren interurbano México-Toluca en el Km 34.3
Se ingresa a la Residencia el 07 12 18 la estimación No.3 por un importe de 144,707.51
La empresa no contesta las llamadas
</t>
  </si>
  <si>
    <t>Construcción de planta de tratamiento de aguas residuales y emisores en San Juan Tezompa y Santa Catarina Ayotzingo, Municipio de Chalco</t>
  </si>
  <si>
    <t>203200-APAD-OF-0549/18
203200-APAD-OF-1581/18
203200-APAD-OF-1778/18
20704000L-APAD-OF-2115/18</t>
  </si>
  <si>
    <t>CAEM-DGIG-FID-058-18-CS
CAEM-DGIG-FID-176-20-CS</t>
  </si>
  <si>
    <t>OBRA SUSPENDIDA
En reunión celebrada el día 11 de mayo de 2021 con la CFE (Comisión Federal de Electricidad) en el cual nos informan nuevamente la negativa para la contratación del servicio de energía eléctrica a nombre de ODAPAS Chalco por existir un adeudo histórico por cerca de 85MDP; por lo que esta Descentralizada solicita el apoyo a CFE para el realizar el cambio de dominio y que la contratación del servicio cambiara nombre de CAEM respetando los tramites, tiempos y pagos ya realizados por la empresa contratista, el cual nos informó el Directivo CFE que la única vía para la contratación de dicho servicio a nombre de CAEM, es iniciar con toda la documentación y cubrir nuevamente con todos los pagos correspondientes; al respecto se informa que el pasado jueves 27 de mayo de 2021, se ingresaron los pagos ante la Unidad Verificadora (UV) de CFE, iniciando nuevamente el trámite de contratación.</t>
  </si>
  <si>
    <t>Para contratación 
Se envió paquete</t>
  </si>
  <si>
    <t>Ampliación del sistema de agua potable en la Comunidad de El Arco, Municipio de Valle De Bravo</t>
  </si>
  <si>
    <t>203200-APAD-OF-0549/18
20704000L-APAD-OF-2096/18</t>
  </si>
  <si>
    <t>CAEM-DGIG-FID-026-17-LPN CA</t>
  </si>
  <si>
    <t>Obra suspendida
Los trabajos se encuentran detenidos hasta que se defina la contratación de los recursos FID. 
Cancelación de convenio adicional, 
Para contratación como obra nueva.
Se envió paquete</t>
  </si>
  <si>
    <t>Construcción del puente Canal Xinthe, para el colector Sur presa Guadalupe, Municipios de Nicolás Romero y Cuautitlán Izcalli.</t>
  </si>
  <si>
    <t>203200-APAD-OF-1174/18
20704000L-APAD-OF-2121/18</t>
  </si>
  <si>
    <t xml:space="preserve">Construcción Arquitectura, Remodelación y Diseño, S.A. de C.V.
</t>
  </si>
  <si>
    <t>CAEM-DGIG-FID-029-20-CP</t>
  </si>
  <si>
    <t>1ERA
12/04/2021
26/08/2021</t>
  </si>
  <si>
    <t>1ERA
30/07/2021
01/03/2022</t>
  </si>
  <si>
    <t>Rehabilitación de la línea de descarga a partir de la caja de cambio de régimen de la planta de bombeo villada, municipio de Nezahualcóyotl</t>
  </si>
  <si>
    <t>203200-APAD-OF-1581/18
20704000L-APAD-OF-2080/18 AUT</t>
  </si>
  <si>
    <t>MCY, Sumiistros S.A. de C.V:</t>
  </si>
  <si>
    <t>CAEM-DGIG-FID-023-19-AD</t>
  </si>
  <si>
    <t>Obra suspendida
-Problemática social
-Liberación de predio
03/03/2020
El Lic. Martín Aparicio presentó documentación que acreditaba a 539 personas como supuestos propietarios de ambos polígonos y solicito amablemente a nombre de sus representados se detuvieran los trabajos que la Empresa Contratista ejecutan en la zona de Obra,  esto con la finalidad de evitar conflictos con los supuestos propietarios de los polígonos II y III.
Por lo anterior descrito, esta Residencia de Construcción sugiere de lleve a cabo una SUSPENSIÓN TEMPORAL DE LA OBRA hasta no tener la certeza de la propiedad del predio donde se tiene considerado la instalación de la tubería
La Dirección General de Gobierno, la Unida Jurídica de CAEM y la Secretaría de Finanzas continúan investigando la propiedad correspondiente a la franja de 20 metros que es la poligonal por dónde va el trazo de dicho emisor; se aclara que la definición de dicha propiedad está a cargo de la Secretaría de Finanzas. Por esta situación actualmente se encuentra suspendida.</t>
  </si>
  <si>
    <t>Construcción de colectores en la Cabecera Municipal (2 etapa) de Cocotitlán</t>
  </si>
  <si>
    <t>203200-APAD-OF-0603/19 ASIG $
20704000L-APAD-1606/19</t>
  </si>
  <si>
    <t>Grupo Constructor e Inmobiliario RILH, S.A. de C.V.</t>
  </si>
  <si>
    <t>CAEM-DGIG-FID-153-19-CP</t>
  </si>
  <si>
    <t>Obra con suspensión temporal, (adecuación a Proyecto Ejecutivo), procedimiento constructivo de las lumbreras</t>
  </si>
  <si>
    <t>Construcción de tanque y línea de interconexión  a la red existente en la comunidad de el Arco</t>
  </si>
  <si>
    <t>20704000-APAD-OF-0064/20
20704000L-APAD-OF-1169/20</t>
  </si>
  <si>
    <t>DOVAR Ingenieros Constructores, S.A. de C.V.</t>
  </si>
  <si>
    <t>CAEM-DGIG-FID-201-20-CS</t>
  </si>
  <si>
    <t xml:space="preserve">
problemas sociales
 terminación anticipada.
- Se presentan personal de la comunidad de San Francisco Mihualtepec para detener los trabajos, argumentando que no hay permisos por parte de los ejidatarios para realizar trabajos en la zona marginal de derecho de vía de la carretera Federal Valle de Bravo- Toluca.
- Se realiza la elaboración de acta de suspensión temporal derivado a que los ejidatarios no dejan continuar con los trabajos así mismo se mandó a la dirección de construcción para recabar las firmas correspondientes.
- Se ejecutó la instalación de piezas especiales de fontanería en el tanque de 100 m3.
- Se ejecuto el cerco perimetral con malla ciclónica
- Mediante oficio 219C0113010700T/438/2021 de fecha 20/07/2021 se le notifica a la empresa contratista el procedimiento de terminación anticipada derivado a la problemática social entre comunidades.
- Se envía a la Dirección de Construcción 29/07/2021 el estudio de ajuste de costos que corresponde del mes de marzo, el cual solicito la empresa contratista, así mismo para su trámite correspondiente.
</t>
  </si>
  <si>
    <t xml:space="preserve">Ampliación del Sistema de Alcantarillado Sanitario en la Localidad de Nexquipayac, Municipio de Atenco (Obra nueva). </t>
  </si>
  <si>
    <t>Tecnologías AEON, S.A. de C.V.</t>
  </si>
  <si>
    <t>C. FRANCISCO JAVIER CARRETERO ÁLVAREZ</t>
  </si>
  <si>
    <t>TAE-180209-CS3</t>
  </si>
  <si>
    <t xml:space="preserve">CALLE METEPEC ZACANGO N° 900, COLONIA LA MAGDALENA OCOTITLÁN, METEPEC, MÉXICO.
C.P. 52161 </t>
  </si>
  <si>
    <t>CAEM-DGIG-FID-177-20-CP</t>
  </si>
  <si>
    <t>16/11/2021
15/12/2021</t>
  </si>
  <si>
    <t>1ERA
06/01/2021
07/03/2021
2DA
07/03/2021
05/04/2021</t>
  </si>
  <si>
    <t>Atenco</t>
  </si>
  <si>
    <t>20704000L-APAD-OF-0313/20
20704000L-APAD-OF-1191/20</t>
  </si>
  <si>
    <t>Tuneleo y Urbanizaciones, S.A. de C.V.</t>
  </si>
  <si>
    <t>CAEM-DGIG-FID-010-17-CS
Adendum</t>
  </si>
  <si>
    <t>se restaura el recurso asignado cancelado en la sesion 54 $741,902.72
se reasignará el saldo de lo asignado en sesion 53
1,253,129.43
solo se jercee el saldo del contrato 741,902.72
Obra suspendida 
Obra suspendida desde el 02/3/18 por parte de la empresa, ya que la comunidad no permite el colado de concreto sobre la parte de obra ejecutada, exigiendo el colado completo del ancho total de la calle del tramo del pozo número 8 al 9.
Se encuentyra en tramite de suspencion temporal con fecha 31/07/2018 se lleva a cabo el recorrido fisico en obra para conciliar la est no. 5 de ajuste.
se concilia con la empresa la última estimación que presentó ya que para esta el contrato está agotado y de acuerdo a los números de esta residencia, sobran recursos para concluir los trabajos.
recurso a ejercer</t>
  </si>
  <si>
    <t>Ampliación y rehabilitación de la red de distribución de agua potable de San Miguel Jaltocan, Nextlapan (red tanque existente)</t>
  </si>
  <si>
    <t xml:space="preserve">20704000L-APAD-0614/20
20704000L-APAD-0836/20
</t>
  </si>
  <si>
    <t>APAUR 2020</t>
  </si>
  <si>
    <t>LOTREJA, S.A. de C.V.</t>
  </si>
  <si>
    <t>CAEM-DGIG-APAUR-187-20-CP</t>
  </si>
  <si>
    <t>1ER
01/01/2021
15/03/2021</t>
  </si>
  <si>
    <t>Nextlalpan</t>
  </si>
  <si>
    <t xml:space="preserve">La SEDATU realizara las reparaciones de las afectaciones que ocasiono a la tubería de la red de distribución con motivo de los trabajos de la rehabilitación de la plaza central de San Miguel Jaltocan, para que se pueda concluir la prueba general de operación de la red de distribución de agua potable. 
</t>
  </si>
  <si>
    <t>Línea de conducción de agua potable la cual la cuál consiste en el suministro e instalación  de 7,300 m. de tubería de acero, fogo, pvc en diámetros de 3" a 6" y un tanque superficial de concreto de 90 m3 para las localidades de San Martín Ahuatepec, San Marcos Tlaxuchilco y Buenavista, Municipio de Otumba.</t>
  </si>
  <si>
    <t>20704000L-APAD-0939/20
20704000L-APAD-1171/20</t>
  </si>
  <si>
    <t>PRODDER 2020</t>
  </si>
  <si>
    <t>Escodem, S.A. de C.V.</t>
  </si>
  <si>
    <t>CAEM-DGIG-PRODDER-235-20-CP</t>
  </si>
  <si>
    <t>Otumba</t>
  </si>
  <si>
    <t>Construcción de línea de conducción con tubería de polietileno de alta densidad en diámetro de 4" con una longitud de 2,870 metros, así como la construcción de tanque de regulación de concreto armado de 50 m3 de capacidad en la comunidad de Agua Bendita, Municipio de Timilpan.</t>
  </si>
  <si>
    <t>ARRENDADORA SAN JUAN VIEJO, S.A. DE C.V.</t>
  </si>
  <si>
    <t>CAEM-DGIG-PRODDER-242-20-CP</t>
  </si>
  <si>
    <t>Timilpan</t>
  </si>
  <si>
    <t>Obra en proceso con problemática social, la comunidad no
no se permite la conexión de la línea al Tanque</t>
  </si>
  <si>
    <t xml:space="preserve">Recursos para obras de infraestructura hidráulica (obra nueva) más de un municipio, varias (construcción de dos tanques tormenta y dos pozos de infiltración ubicados en av. Estado de México, colonia Solidaridad 3era sección, municipio de Tultitlán). </t>
  </si>
  <si>
    <t>CALLE MONTES URALES N° 754 PISO 6, COLONIA REFORMA LOMAS, DELEGACIÓN MIGUEL HIDALGO, MÉXICO.
C.P. 11000</t>
  </si>
  <si>
    <t>CAEM-DGIG-GC-179-20-CP
CAEM-DGIG-FID-179-20-CP</t>
  </si>
  <si>
    <t>24/12/2020
GC</t>
  </si>
  <si>
    <t>21/01/2022
FID</t>
  </si>
  <si>
    <t>FINAL 
FID</t>
  </si>
  <si>
    <t>UNICA 
CONV. ADIC.</t>
  </si>
  <si>
    <t>PORCENTAJE</t>
  </si>
  <si>
    <t>A LA FECHA</t>
  </si>
  <si>
    <t>PAD 2021</t>
  </si>
  <si>
    <t>PROAGUA 2021</t>
  </si>
  <si>
    <t>FID 2021</t>
  </si>
  <si>
    <t>FID 2017 A 2020</t>
  </si>
  <si>
    <t>GLOBAL</t>
  </si>
  <si>
    <t>INVERSION</t>
  </si>
  <si>
    <t>* ZONA RURAL</t>
  </si>
  <si>
    <t xml:space="preserve">CAEM-DGIG-FID-027-22-CS </t>
  </si>
  <si>
    <t xml:space="preserve">CAEM-DGIG-FID-028-22-CS </t>
  </si>
  <si>
    <t>EQUIPAMIENTO ELECTROMECÁNICO DE POZO PROFUNDO, LÍNEA DE CONDUCCIÓN Y RED DE DISTRIBUCIÓN DE AGUA POTABLE EN LA COLONIA GUADALUPE VICTORIA EN EL MUNICIPIO DE TENANCINGO (OBRA NUEVA).</t>
  </si>
  <si>
    <t>OFICIOS 2022 ASIGNACIÓN, AUTORIZACIÓN Y CANCELACIÓN\20704000L-APAD-OF-0866-21.pdf</t>
  </si>
  <si>
    <t>CAEM-DGIG-FID-038-22-CS</t>
  </si>
  <si>
    <t>CONSTRUCTORES E INGENIERÍA DEL MEDIO AMBIENTE, S.A. DE C.V.</t>
  </si>
  <si>
    <t>ING. EDGAR MAURICIO MARTÍNEZ RUESGA</t>
  </si>
  <si>
    <t>CIM9612053Q2</t>
  </si>
  <si>
    <t>AV. PROL. DIV. DEL NTE NÚMERO EXTERIOR 4360, NÚMERO INTERIOR 3, COLONIA PRADO COAPA 1RA SECCIÓN, DEMARCACIÓN TERRITORIAL TLALPAN, CIUDAD DE MÉXICO.
C.P. 14275</t>
  </si>
  <si>
    <t>C. FERNANDO MARCOS HERNÁNDEZ PEÑALOZA</t>
  </si>
  <si>
    <t>FECHA DE INGRESO A DGIG
(EST 17)</t>
  </si>
  <si>
    <t>FECHA DE INGRESO A DGIG
(EST 18)</t>
  </si>
  <si>
    <t>Obra con reducción de metas, llegando un avance de 87% físico con recursos agotados.
1ERA SUSP FORMALIZADA
$ 7 MD (CONVENIO DE MONTO EN FIRMA DE DGIG DESDE 31 DE MAYO)</t>
  </si>
  <si>
    <t xml:space="preserve">1ERA Y 2DA SUSPENSIÓN FORMALIZADA
REPROGRAMACIÓN EN REVISIÓN POR DGIG (13/01/2022)
- Contrato concluido el 15 de diciembre de 2021.
- Se está en espera de la Supervisión a la línea de electrificación por CFE y una vez se autorice, conectarán el sistema de la obra a la Red principal.  
- Se reanudan actividades el 06 de junio de 2022, y se realizan trabajos de pintura para rotulado de bardas y colocación de malla perimetral.
- Se encuentra a la espera de suministro de bombas y equipo de control.
</t>
  </si>
  <si>
    <t>1ER
04/05/2022
30/06/2022</t>
  </si>
  <si>
    <t>PERFORACIÓN DE POZO PROFUNDO, DESARROLLO Y AFORO PARA LA LOCALIDAD DE DOS RÍOS, MUNICIPIO DE CUAUTITLÁN. (OBRA NUEVA)</t>
  </si>
  <si>
    <t>MANEKEN DE MÉXICO, S. DE R.L. DE C.V.</t>
  </si>
  <si>
    <t xml:space="preserve">LIC. JACOBO CONTRERAS  GUILLÉN </t>
  </si>
  <si>
    <t>MME1612229T1</t>
  </si>
  <si>
    <t>AVENIDA PRIMERO DE MAYO NÚMERO EXTERIOR 120, NÚMERO INTERIOR PISO 2  OFICINA A, COLONIA SAN ANDRÉS ATOTO, NAUCALPAN DE JUÁREZ, MÉXICO. 
C.P. 53500</t>
  </si>
  <si>
    <t>CUAUTITLÁN</t>
  </si>
  <si>
    <t xml:space="preserve">1 ° CONV MODIF FORMALIZADO   
</t>
  </si>
  <si>
    <r>
      <rPr>
        <sz val="10"/>
        <color rgb="FF0000FF"/>
        <rFont val="Arial"/>
        <family val="2"/>
      </rPr>
      <t xml:space="preserve">1ERA SUSPENSIÓN FORMALIZADA 
</t>
    </r>
    <r>
      <rPr>
        <b/>
        <sz val="10"/>
        <color rgb="FF0000FF"/>
        <rFont val="Arial"/>
        <family val="2"/>
      </rPr>
      <t xml:space="preserve">REPROGRAMACIÓN SE DEVOLVIO A DGIH POR OBSERVACIONE DE DGIG
</t>
    </r>
    <r>
      <rPr>
        <sz val="10"/>
        <color rgb="FF3333FF"/>
        <rFont val="Arial"/>
        <family val="2"/>
      </rPr>
      <t xml:space="preserve">
Obra concluida, no opera
En espera de que CFE coloque el medidor.</t>
    </r>
    <r>
      <rPr>
        <sz val="10"/>
        <rFont val="Arial"/>
        <family val="2"/>
      </rPr>
      <t xml:space="preserve">
</t>
    </r>
  </si>
  <si>
    <t xml:space="preserve">CONSTRUCTORA CUEVAS, S.A. DE C.V. </t>
  </si>
  <si>
    <t xml:space="preserve">C. JOSÉ GABRIEL CUEVAS CASTILLO </t>
  </si>
  <si>
    <t>CCU951207466</t>
  </si>
  <si>
    <t>MAÍZ MZA 1000 LOT C, COLONIA SAN ISIDRO ATLAUTENCO, ECATEPEC DE MORELOS, MÉXICO.
C.P. 55064</t>
  </si>
  <si>
    <t>ING. ÁNGEL CONTRERAS GUILLÉN</t>
  </si>
  <si>
    <t>BOULEVARD MANUEL ÁVILA CAMACHO NÚMERO EXTERIOR 5, NÚMERO INTERIOR S 1000 TORRE B P 10, COLONIA DE SOTELO , NAUCALPAN DE JUÁREZ, MÉXICO. 
C.P. 53390</t>
  </si>
  <si>
    <t>5588528134
Y
5558820099</t>
  </si>
  <si>
    <t>EDUARDO JUAKEY SOTELO</t>
  </si>
  <si>
    <t>ING. EDUARDO JUAKEY SOTELO</t>
  </si>
  <si>
    <t>JUSE5403204V6</t>
  </si>
  <si>
    <t>CALLE LEÓN GUZMÁN, NÚMERO 12, COLONIA BARRIO DE LA CAMPANA, VILLA GUERRERO, MÉXICO.
C.P. 51760</t>
  </si>
  <si>
    <t>DESARROLLADORA DE INFRAESTRUCTURA AMILCO, S.A. DE C.V.</t>
  </si>
  <si>
    <t>ING. EZEQUIEL SAAD LAGUNAS HADAD</t>
  </si>
  <si>
    <t>DDI0909281D9</t>
  </si>
  <si>
    <t>CALLE RAMOS ARIZPE NÚMERO 33, COLONIA PILARES, METEPEC, MÉXICO.
C.P. 52179</t>
  </si>
  <si>
    <t>CONSTRUCTORA SUARGÓN, S.A DE D.V.</t>
  </si>
  <si>
    <t>CALLE DOLORES HIDALGO NÚMERO 1912 A, COLONIA INDEPENDENCIA, TOLUCA DE LERDO, MÉXICO.
C.P. 50070</t>
  </si>
  <si>
    <t>C. JUAN JOSÉ SUÁREZ GONZÁLEZ</t>
  </si>
  <si>
    <t xml:space="preserve">CAEM-DGIG-FID-032-22-CS </t>
  </si>
  <si>
    <t xml:space="preserve">CAEM-DGIG-FID-033-22-CS </t>
  </si>
  <si>
    <t xml:space="preserve">CAEM-DGIG-FID-041-22-CS </t>
  </si>
  <si>
    <t>OFICIOS 2022 ASIGNACIÓN, AUTORIZACIÓN Y CANCELACIÓN\20704000L-APAD-OF-1246-21.pdf</t>
  </si>
  <si>
    <t>CAEM-DGIG-PROAGUA-065-22-CS</t>
  </si>
  <si>
    <t>VIME CONSTRUCCIONES, S.A DE C.V.</t>
  </si>
  <si>
    <t xml:space="preserve">CAEM-DGIG-PAD-046-22-CP </t>
  </si>
  <si>
    <t xml:space="preserve">CAEM-DGIG-PROAGUA-048-22-CS </t>
  </si>
  <si>
    <t xml:space="preserve">CAEM-DGIG-PROAGUA-066-22-CS </t>
  </si>
  <si>
    <t xml:space="preserve">QUALITY DESIGN ARQUITECTURA + CONCEPTO, S.A. DE C.V. </t>
  </si>
  <si>
    <t>CONSTRUCTORA Y ARRENDADORA MOVATI, S. DE R.L. C.V</t>
  </si>
  <si>
    <t>OFICIOS 2022 ASIGNACIÓN, AUTORIZACIÓN Y CANCELACIÓN\20704000L-APAD-OF-1762-19.pdf</t>
  </si>
  <si>
    <t>TERMINACIÓN DEL DESARENADOR SOBRE EL ARROYO LAS JARAS EN EL CRUCE CON LA CALLE LIBERTAD, EN SAN FELIPE TLALMIMILOLPAN, MUNICIPIO DE TOLUCA</t>
  </si>
  <si>
    <t xml:space="preserve">GRUPO GAMJE, S.A. DE C.V. </t>
  </si>
  <si>
    <t>CALLE VALENTÍN GÓMEZ FARIAS ORIENTE, NÚMERO EXTERIOR PISO 1, COLONIA SAN SEBASTIÁN, TOLUCA, MÉXICO. 
C.P. 50150</t>
  </si>
  <si>
    <t>7221802051
7222911517</t>
  </si>
  <si>
    <t>GRUPO DRILLAC, S. DE R.L. DE C.V.</t>
  </si>
  <si>
    <t>AVENIDA PASEO DE LA REFORMA NÚMERO EXTERIOR 250 PISO 8, NÚMERO INTERIOR SUITE 800, COLONIA JUÁREZ, DEMARCACIÓN TERRITORIAL CUAUHTÉMOC, CIUDAD DE MÉXICO.
C.P. 06600</t>
  </si>
  <si>
    <t>GRUPO RESSCO, REINGENIERÍA EN SERVICIOS, SUMINISTROS Y CONSTRUCCIONES, S.A. DE C.V.</t>
  </si>
  <si>
    <t>C. LEONARDO REYES MARTÍNEZ</t>
  </si>
  <si>
    <t>GRR131125G87</t>
  </si>
  <si>
    <t>AVENIDA NORTE NÚMERO EXTERIOR 169, NÚMERO INTERIOR C002, COLONIA PANTITLÁN, DEMARCACIÓN TERRITORIAL IZTACALCO, CIUDAD DE MÉXICO.
C.P. 08100</t>
  </si>
  <si>
    <t>C. MAXIMILIANO SOSA GREGORIO</t>
  </si>
  <si>
    <t>QDA190814494</t>
  </si>
  <si>
    <t>CALLE URBANO FONSECA NÚMERO 46, COLONIA SAN BUENAVENTURA, TOLUCA, MÉXICO.
C.P. 50110</t>
  </si>
  <si>
    <t>C. MAURICIO ORLANDO VALLEJO TINOCO</t>
  </si>
  <si>
    <t>CAM1403284Y6</t>
  </si>
  <si>
    <t>CALLE OLMOS NÚMERO EXTERIOR 823, NÚMERO INTERIOR A, COLONIA CASA BLANCA, METEPEC, MÉXICO. 
C.P. 52179</t>
  </si>
  <si>
    <t>CALLE S. JOSÉ DEL REAL NÚMERO EXTERIOR 54, NÚMERO INTERIOR 702, COLONIA LOMAS VERDES 5A SECCIÓN (LA CONCORDIA), NAUCALPAN DE JUÁREZ,  MÉXICO.
C.P. 53126</t>
  </si>
  <si>
    <t>ING. EDUARDO SALVADOR GARCÍA SÁNCHEZ</t>
  </si>
  <si>
    <t>GGA1303251S9</t>
  </si>
  <si>
    <t>CALLE JOSÉ MARÍA MORELOS Y PAVÓN SIN NÚMERO, LOCALIDAD SAN SEBASTIÁN, MALINALCO, MÉXICO.
C.P.52433</t>
  </si>
  <si>
    <t xml:space="preserve">CAEM-DGIG-PAD-043-22-CP
</t>
  </si>
  <si>
    <t xml:space="preserve">CAEM-DGIG-PROAGUA-070-22-CP
</t>
  </si>
  <si>
    <t xml:space="preserve">CAEM-DGIG-PROAGUA-069-22-CP </t>
  </si>
  <si>
    <t xml:space="preserve">CAEM-DGIG-PROAGUA-075-22-CP
</t>
  </si>
  <si>
    <t xml:space="preserve">CAEM-DGIG-PROAGUA-073-22-CP
</t>
  </si>
  <si>
    <r>
      <t xml:space="preserve">1ERA Y 2DA SUSPENSIÓN FORMALIZADA
1ER CONV MODF FORMALIZADO
</t>
    </r>
    <r>
      <rPr>
        <sz val="10"/>
        <color rgb="FFFF0000"/>
        <rFont val="Arial"/>
        <family val="2"/>
      </rPr>
      <t>Obra civil concluida con reducción de metas, por cambio de trazo en la línea de conducción</t>
    </r>
  </si>
  <si>
    <t>VADARIOBA, S.A. DE C.V.</t>
  </si>
  <si>
    <t>C. ARTURO HURTADO ZÁRATE</t>
  </si>
  <si>
    <t>VAD180918BV9</t>
  </si>
  <si>
    <t>CALLE RETORNO 2 DE RIFLEROS DE SAN LUIS POTOSÍ NÚMERO 11-A, COLONIA EJERCITO DE ORIENTE, DEMARCACIÓN TERRITORIAL IZTAPALAPA, CIUDAD DE MÉXICO.
C.P. 09230</t>
  </si>
  <si>
    <t xml:space="preserve">CAEM-DGIG-PROAGUA-079-22-CP
</t>
  </si>
  <si>
    <t xml:space="preserve">CAEM-DGIG-PROAGUA-067-22-CP </t>
  </si>
  <si>
    <t>C. NICOLÁS ALEJANDRO JIMÉNEZ GUTIÉRREZ</t>
  </si>
  <si>
    <t>CALLE FEDERACIÓN NÚMERO EXTERIOR 1608, NÚMERO INTERIOR CASA 21, COLONIA SANTA ANA TLAPALTITLÁN, TOLUCA, MÉXICO.
C.P. 50160</t>
  </si>
  <si>
    <t>7222802330
7222802300</t>
  </si>
  <si>
    <t xml:space="preserve">CAEM-DGIG-PROAGUA-078-22-CP </t>
  </si>
  <si>
    <t xml:space="preserve">CAEM-DGIG-PROAGUA-076-22-CP
</t>
  </si>
  <si>
    <t>CAEM-DGIG-PROAGUA-077-22-CP</t>
  </si>
  <si>
    <t>EDUARDO CHÁVEZ S/N, INTERIOR 2 ALTOS, LOCALIDAD VALLE HERMOSO (CENTRO), TAMAULIPAS.
C.P. 87500</t>
  </si>
  <si>
    <t xml:space="preserve">LIC. FRANCISCO JAVIER ALVARADO CASTILLO </t>
  </si>
  <si>
    <t>ESCODEM, S.A DE C.V.</t>
  </si>
  <si>
    <t>ESCO911261D7</t>
  </si>
  <si>
    <t>CALLE CUARTO RETORNO LAGO DE CHAPULTEPEC NÚMERO EXTERIOR MANZANA 10 LT 23, NÚMERO INTERIOR 9, COLONIA FRACC JARDINES DE MORELOS SECCIÓN LAGOS, ECATEPEC MÉXICO.
C.P. 55070</t>
  </si>
  <si>
    <t xml:space="preserve">CAEM-DGIG-PROAGUA-081-22-CP
</t>
  </si>
  <si>
    <t xml:space="preserve">CAEM-DGIG-PROAGUA-089-22-CS </t>
  </si>
  <si>
    <t xml:space="preserve">C. MARÍA DEL CARMEN GUTIÉRREZ FONSECA </t>
  </si>
  <si>
    <t>PYD120606446</t>
  </si>
  <si>
    <t xml:space="preserve">PROYECTO Y DESARRO DE CONSTRUCCIONES BONANZA, S.A. DE C.V.
</t>
  </si>
  <si>
    <t>CALLE PINO SUÁREZ NÚMERO EXTERIOR 4890, NÚMERO INTERIOR H, COLONIA EL BATAN, ZAPOPAN, JALISCO.
C.P. 45190</t>
  </si>
  <si>
    <t>PROCESOS BITUMINOSOS, S. DE R.L DE C.V.</t>
  </si>
  <si>
    <t>C. BIANCA ZURYZADAHY CHÁVEZ MARTÍNEZ</t>
  </si>
  <si>
    <t xml:space="preserve">CAEM-DGIG-PROAGUA-090-22-CS </t>
  </si>
  <si>
    <t>CALLE FRANCISCO PATIÑO NÚMERO EXTERIOR 100 EDIFICIO 12, NÚMERO INTERIOR DEP 104, COLONIA JESÚS JIMÉNEZ GALLARDO, METEPEC, MÉXICO.
C.P. 52167</t>
  </si>
  <si>
    <t xml:space="preserve">CONCRETOS Y ASFALTOS TAYCAR, S.A DE C.V. </t>
  </si>
  <si>
    <t>C. LUIS NAVARRO ÁLVAREZ</t>
  </si>
  <si>
    <t>CAT020712ML7</t>
  </si>
  <si>
    <t>CARRETERA TOLUCA CIUDAD ALTAMIRANO, KM 15.1, SAN JUAN DE LAS HUERTAS, ZINACANTEPEC, MÉXICO.
C.P. 51370</t>
  </si>
  <si>
    <t>BAYCA OBRAS Y PROYECTOS, S.A. DE C.V.</t>
  </si>
  <si>
    <t xml:space="preserve">C. ARACELI TREJO MEDRANO </t>
  </si>
  <si>
    <t>BOP170315US1</t>
  </si>
  <si>
    <t>CALLE HERIBERTO FRÍAS NÚMERO EXTERIOR 1439, NÚMERO INTERIOR 503-A, COLONIA DEL VALLE CENTRO, DEMARCACIÓN TERRITORIAL BENITO JUÁREZ, CIUDAD DE MÉXICO.
C.P. 03100</t>
  </si>
  <si>
    <t xml:space="preserve">CONSTRUCCIONES BERRELLEZA MACEDO, S.A. DE C.V. </t>
  </si>
  <si>
    <t>CALLE 23 DE SEPTIEMBRE NÚMERO EXTERIOR 312, NÚMERO INTERIOR B, COLONIA MORELOS 1A SECCIÓN, TOLUCA, MÉXICO.
C.P. 50120</t>
  </si>
  <si>
    <t>CAEM-DGIG-PROAGUA-099-22-CP</t>
  </si>
  <si>
    <t>CORPORACION HIDRO INDUSTRIAL S.A. DE C.V.</t>
  </si>
  <si>
    <t>CONSTRUCCIÓN DE RED O SISTEMA DE AGUA ENTUBADA EN APAXCO, LOCALIDAD EL MIRADOR ASENTAMIENTO EL MIRADOR - FOLIO MIDS 69545</t>
  </si>
  <si>
    <t>EQUIPAMIENTO DE POZO PROFUNDO DE AGUA ENTUBADA EN APAXCO, LOCALIDAD EL MIRADOR ASENTAMIENTO EL MIRADOR - FOLIO MIDS 78275</t>
  </si>
  <si>
    <t>CONSTRUCCIÓN DE RED O SISTEMA DE AGUA ENTUBADA EN ATLACOMULCO, LOCALIDAD SAN PEDRO DEL ROSAL ASENTAMIENTO SAN PEDRO DEL ROSAL - FOLIO MIDS 70181</t>
  </si>
  <si>
    <t>CONSTRUCCIÓN DE CÁRCAMO EN ATLACOMULCO LOCALIDAD SAN PEDRO DEL ROSAL - FOLIO MIDS 80361</t>
  </si>
  <si>
    <t>CONSTRUCCIÓN DE RED O SISTEMA DE AGUA ENTUBADA EN CUAUTITLÁN LOCALIDAD FRACCIÓN SAN ROQUE EL PRIETO ASENTAMIENTO SAN ROQUE - FOLIO MIDS 70858</t>
  </si>
  <si>
    <t>CONSTRUCCIÓN DE TANQUE ELEVADO DE AGUA POTABLE EN CUAUTITLÁN, LOCALIDAD CUAUTITLÁN, ASENTAMIENTO CUAUTITLÁN CENTRO - FILIO MIDS 79956</t>
  </si>
  <si>
    <t>CONSTRUCCIÓN DE POZO PROFUNDO DE AGUA ENTUBADA EN OTUMBA LOCALIDAD OXTOTIPAC ASENTAMIENTO OXTOTIPAC - FOLIO MIDS 68711</t>
  </si>
  <si>
    <t>CONSTRUCCIÓN DE POZO PROFUNDO DE AGUA ENTUBADA EN OTUMBA LOCALIDAD SANTIAGO TOLMAN ASENTAMIENTO SANTIAGO TOLMAN - FOLIO MIDS 68745</t>
  </si>
  <si>
    <t>CONSTRUCCIÓN DE RED O SISTEMA DE AGUA ENTUBADA EN CHAPA DE MOTA LOCALIDAD DHALLE EJIDO DE DONGU - FOLIO MIDS 69811</t>
  </si>
  <si>
    <t>CONSTRUCCIÓN DE POZO PROFUNDO DE AGUA ENTUBADA EN ECATEPEC DE MORELOS LOCALIDAD ECATEPEC DE MORELOS ASENTAMIENTO RÍO DE LUZ - FOLIO MIDS 70342</t>
  </si>
  <si>
    <t>CONSTRUCCIÓN DE POZO PROFUNDO DE AGUA ENTUBADA EN LA PAZ LOCALIDAD LOS REYES ACAQUILPAN ASENTAMIENTO  LOS REYES ACAQUILPAN CENTRO - FOLIO MIDS 68763</t>
  </si>
  <si>
    <t>CONSTRUCCIÓN DE RED O SISTEMA DE AGUA ENTUBADA EN VALLE DE CHALCO SOLIDARIDAD LOCALIDAD XICO ASENTAMIENTO GUADALUPANA - FOLIO MIDS 69926</t>
  </si>
  <si>
    <t>CONSTRUCCIÓN DE RED O SISTEMA DE AGUA ENTUBADA EN TEZOYUCA LOCALIDAD EJIDO DE TEQUISISTLÁN PRIMERO ASENTAMIENTO TEQUISISTLÁN PRIMERO - FOLIO MIDS 71503</t>
  </si>
  <si>
    <t>CONSTRUCCIÓN DE RED O SISTEMA DE AGUA ENTUBADA EN CUAUTITLÁN LOCALIDAD SAN MATEO IXTACALCO ASENTAMIENTO SAN MATEO IXTACALCO - FOLIO MIDS 87368</t>
  </si>
  <si>
    <t xml:space="preserve">CONSTRUCCIÓN DE RED DE ALCANTARILLADO EN TENANGO DEL AIRE LOCALIDAD TENANGO DEL AIRE ASENTAMIENTO SAN MIGUEL - FOLIO MIDS 86853 </t>
  </si>
  <si>
    <t>CONSTRUCCIÓN DE RED DE ALCANTARILLADO EN MORELOS LOCALIDAD SAN JOSÉ LA EPIFANIA - FOLIO MIDS 86627</t>
  </si>
  <si>
    <t>CONSTRUCCIÓN DE CÁRCAMO EN SAN JOSÉ DEL RINCÓN LOCALIDAD SAN FRANCISCO SOLO ASENTAMIENTO SAN FRANCISCO SOLO - FOLIO MIDS 89371</t>
  </si>
  <si>
    <t>CONSTRUCCIÓN DE RED O SISTEMA DE AGUA ENTUBADA EN SAN JOSÉ DEL RINCÓN LOCALIDAD EL PORVENIR ASENTAMIENTO EL PORVENIR - FOLIO MIDS 89490</t>
  </si>
  <si>
    <t xml:space="preserve">CONSTRUCCIÓN DE TANQUE DE AGUA POTABLE EN SAN JOSÉ DEL RINCÓN LOCALIDAD SAN FRANCISCO SOLO ASENTAMIENTO SAN FRANCISCO SOLO - FOLIO MIDS 89335 </t>
  </si>
  <si>
    <t>FISE 2022</t>
  </si>
  <si>
    <t xml:space="preserve">APAXCO
</t>
  </si>
  <si>
    <t xml:space="preserve">CUAUTITLAN
</t>
  </si>
  <si>
    <t xml:space="preserve">CHAPA DE MOTA
</t>
  </si>
  <si>
    <t xml:space="preserve">VALLE DE CHALCO SOLIDARIDAD
</t>
  </si>
  <si>
    <t>OFICIOS 2022 ASIGNACIÓN, AUTORIZACIÓN Y CANCELACIÓN\20704000L-APAD-FISE-0309-22.pdf</t>
  </si>
  <si>
    <t>C. JACOBO CONTRETAS GUILLÉN</t>
  </si>
  <si>
    <t>ESTUDIO DEL ESTATUS ACTUAL DE INFRAESTRUCTURA FALTANTE EN LAS OBRAS DE ALCANTARILLADO, CONSTRUIDAS EN AÑOS ANTERIORES EN ZONAS RURALES, MAS DE UN MUNICIPIO.</t>
  </si>
  <si>
    <t>CIPRO, PROYECTOS E INFRAESTRUCTURA CIVIL, S.A. DE C.V.</t>
  </si>
  <si>
    <t>C. OSCAR JORGE HERNÁNDEZ LÓPEZ</t>
  </si>
  <si>
    <t>CPI1609228A1</t>
  </si>
  <si>
    <t>AVENIDA INSURGENTES SUR NÚMERO EXTERIOR 1524, NÚMERO INTERIOR 902, COLONIA CRÉDITO CONSTRUCTOR DEMARCACIÓN TERRITORIAL BENITO JUÁREZ, CIUDAD DE MÉXICO.
C.P. 03940</t>
  </si>
  <si>
    <t>CAEM-DGIG-PROAGUA-064-22-CS</t>
  </si>
  <si>
    <t>OBRAS RURALES</t>
  </si>
  <si>
    <t>VARIOS</t>
  </si>
  <si>
    <t>ING. FRANCISCO JAVIER ARANDA GONZÁLEZ</t>
  </si>
  <si>
    <t>CAM870907796</t>
  </si>
  <si>
    <t>CARRETERA FEDERAL MÉXICO PIRÁMIDES KM. 29.5, COLONIA SAN ISIDRO ATLAUTENCO, ECATEPEC, MÉXICO.
C.P. 55064</t>
  </si>
  <si>
    <t>5558388611
5558395833</t>
  </si>
  <si>
    <t xml:space="preserve">BRICONSA CONSTRUCCIONES, S.A. DE C.V. </t>
  </si>
  <si>
    <t>ING. DANIEL BRINGAS ABARCA</t>
  </si>
  <si>
    <t>BCO180424C36</t>
  </si>
  <si>
    <t>CALLE CÁCERES NÚMERO EXTERIOR 20, NÚMERO INTERIOR 26, COLONIA LA PROVIDENCIA, METEPEC, MÉXICO.
C.P. 52177</t>
  </si>
  <si>
    <t xml:space="preserve">CAEM-DGIG-PROAGUA-116-22-CS
</t>
  </si>
  <si>
    <t xml:space="preserve">CAEM-DGIG-PROAGUA-091-22-CS
</t>
  </si>
  <si>
    <t>CONCRETOS ASFÁLTICOS DE MÉXICO, S.A. DE C.V.</t>
  </si>
  <si>
    <t>OFICIOS 2022 ASIGNACIÓN, AUTORIZACIÓN Y CANCELACIÓN\20704000L-APAD-OF-0367-22.pdf</t>
  </si>
  <si>
    <t>OFICIOS 2022 ASIGNACIÓN, AUTORIZACIÓN Y CANCELACIÓN\20704000L-APAD-OF-0368-22.pdf</t>
  </si>
  <si>
    <t xml:space="preserve">CAEM-DGIG-FID-031-22-CS </t>
  </si>
  <si>
    <t>CAEM-DGIG-PROAGUA-092-22-CS</t>
  </si>
  <si>
    <t xml:space="preserve">CAEM-DGIG-PROAGUA-087-22-CS
</t>
  </si>
  <si>
    <t xml:space="preserve">CAEM-DGIG-PROAGUA-072-22-CP
</t>
  </si>
  <si>
    <t xml:space="preserve">CAEM-DGIG-PAD-045-22-CP </t>
  </si>
  <si>
    <t>CAEM-DGIG-PAD-044-22-CP</t>
  </si>
  <si>
    <t>FECHA DE INGRESO A DGIG
(EST 19)</t>
  </si>
  <si>
    <t>CAEM-DGIG-FID-086-22-CP</t>
  </si>
  <si>
    <t>TERMINACIÓN DEL SISTEMA DE AGUA POTABLE EN LA COMUNIDAD DE CUADRILLA DE FLORES, MUNICIPIO DE TLATLAYA</t>
  </si>
  <si>
    <t>TLATAYA</t>
  </si>
  <si>
    <t>C. LUIS ANTONIO RODRÍGUEZ GUERRERO</t>
  </si>
  <si>
    <t>CHI990325EM8</t>
  </si>
  <si>
    <t>CALLE ESTENÓGRAFOS NÚMERO 38, COLONIA EL SIFÓN, DEMARCACIÓN TERRITORIAL IZTAPALAPA, CIUDAD DE MÉXICO.
C.P. 09400</t>
  </si>
  <si>
    <t xml:space="preserve">CAEM-DGIG-PROAGUA-094-22-CP
</t>
  </si>
  <si>
    <t xml:space="preserve">CAEM-DGIG-PROAGUA-115-22-CS </t>
  </si>
  <si>
    <t>2  0  2  2</t>
  </si>
  <si>
    <t>TOTAL CONTRATADO</t>
  </si>
  <si>
    <t>TOTAL ASIGNADO</t>
  </si>
  <si>
    <t xml:space="preserve">PENDIENTE DE CONTRATAR </t>
  </si>
  <si>
    <t>AGOSTO</t>
  </si>
  <si>
    <t>SEPTIEMBRE</t>
  </si>
  <si>
    <t>OCTUBRE</t>
  </si>
  <si>
    <t>NOVIEMBRE</t>
  </si>
  <si>
    <t>DICIEMBRE</t>
  </si>
  <si>
    <t>ENERO</t>
  </si>
  <si>
    <t>FEBRERO</t>
  </si>
  <si>
    <t>MARZO</t>
  </si>
  <si>
    <t>ABRIL</t>
  </si>
  <si>
    <t>MAYO</t>
  </si>
  <si>
    <t>JUNIO</t>
  </si>
  <si>
    <t>GLOBAL PROGRAMADO</t>
  </si>
  <si>
    <t>GLOBAL DEVENGADO</t>
  </si>
  <si>
    <t>ACUMULADOS</t>
  </si>
  <si>
    <t>DEVENGADO</t>
  </si>
  <si>
    <t>DEVENGADO SEPTIEMBRE</t>
  </si>
  <si>
    <t>DEFICIT SEPTIEMBRE</t>
  </si>
  <si>
    <t>DEVENGADO OCTUBRE</t>
  </si>
  <si>
    <t>DEFICIT OCTUBRE</t>
  </si>
  <si>
    <t>DEVENGADO NOVIEMBRE</t>
  </si>
  <si>
    <t>DEFICIT NOVIEMBRE</t>
  </si>
  <si>
    <t>DEVENGADO DICIEMBRE</t>
  </si>
  <si>
    <t>DEFICIT DICIEMBRE</t>
  </si>
  <si>
    <t>DEVENGADO ENERO</t>
  </si>
  <si>
    <t>DEFICIT ENERO</t>
  </si>
  <si>
    <t>DEVENGADO FEBRERO</t>
  </si>
  <si>
    <t>DEFICIT FEBRERO</t>
  </si>
  <si>
    <t>DEVENGADO MARZO</t>
  </si>
  <si>
    <t>DEFICIT MARZO</t>
  </si>
  <si>
    <t>DEVENGADO ABRIL</t>
  </si>
  <si>
    <t>DEFICIT ABRIL</t>
  </si>
  <si>
    <t>PRODDER 2022</t>
  </si>
  <si>
    <t>PAD REFRENDO</t>
  </si>
  <si>
    <t xml:space="preserve">Obra suspendida
En espera de que la empresa presente su reprogramación del convenio adicional al contrato.
Se realizan las pruebas del sistema en las líneas de conducción.
Se ingresó la estimación número 7  a la Dirección de Construcción el 31/05/2022 por un importe de $ 1,358,667.96 con un avance financiero de 99.92 %.
Ampliación de plazo con periodo 02/06/2021 al 31/08/2021.
Suspensión parcial de obra por problemas sociales con periodo 20/08/2021 al 18/10/2021.
Segunda suspensión temporal de obra con periodo 19/10/2021 al 08/11/2021.
Segunda reprogramación de plazo del 09/11/2021 al 20/11/2021.
Convenio Adicional en Monto y Plazo por un importe de 4,892,833.35  con periodo del 21/11/2021 al 31/12/2021.
Tercera suspensión temporal  de obra con periodo del 21/11/2021 al 31/05/2022.
Se ingresó la estimación número 7  a la Dirección de Construcción el 31/05/2022 por un importe de $ 1,358,667.96 con un avance financiero de 99.92 %.
</t>
  </si>
  <si>
    <t>PUESTA EN OPERACIÓN Y SECTORIZACIÓN DEL SISTEMA DE AGUA POTABLE EN SAN PABLO AUTOPAN, MUNICIPIO DE TOLUCA.</t>
  </si>
  <si>
    <t>1 UNO (UNICA)</t>
  </si>
  <si>
    <t xml:space="preserve">ORIENTE
FUENTES </t>
  </si>
  <si>
    <t>1ERA SUSPENSIÓN FORMALIZADA
1ERA REPROGRAMACIÓN FORMALIZADA
está en proceso la terminación anticipada de la obra por la temporada de lluvias.</t>
  </si>
  <si>
    <t>OFICIOS 2022 ASIGNACIÓN, AUTORIZACIÓN Y CANCELACIÓN\20704000L-APAD-0407-22.pdf</t>
  </si>
  <si>
    <t>OFICIOS 2022 ASIGNACIÓN, AUTORIZACIÓN Y CANCELACIÓN\20704000L-APAD-0420-22.pdf</t>
  </si>
  <si>
    <t>OFICIOS 2022 ASIGNACIÓN, AUTORIZACIÓN Y CANCELACIÓN\20704000L-APAD-0432-22.pdf</t>
  </si>
  <si>
    <t>DIRECCIÓN GENERAL DE INFRAESTRUCTURA HIDRÁULICA</t>
  </si>
  <si>
    <t>GASTO CORRIENTE 2022</t>
  </si>
  <si>
    <t>RELACIÓN DE OBRAS  2022</t>
  </si>
  <si>
    <t>OFICIOS 2022 ASIGNACIÓN, AUTORIZACIÓN Y CANCELACIÓN\20704000L-APAD-OF-1253-21.pdf</t>
  </si>
  <si>
    <t>OFICIOS 2022 ASIGNACIÓN, AUTORIZACIÓN Y CANCELACIÓN\20704000L-APAD-OF-0066-22.pdf</t>
  </si>
  <si>
    <t xml:space="preserve">RECTIFICACIÓN DE LA SECCIÓN DEL RÍO DE LOS REMEDIOS TRAMO 3 (EDOMEX) (OBRA NUEVA) </t>
  </si>
  <si>
    <t xml:space="preserve">TRITURADOS Y ASFALTOS DE ATLACOMULCO, S.A. DE C.V. </t>
  </si>
  <si>
    <t xml:space="preserve">C. GABRIELA ÁVILA SÁNCHEZ </t>
  </si>
  <si>
    <t>TAA160119CJ3</t>
  </si>
  <si>
    <t>CARRETERA LIBRE FEDERAL TOLUCA PALMILLAS KILOMÉTRO 77.2, ACAMBAY, MÉXICO.
C.P. 50300</t>
  </si>
  <si>
    <t>CONSTRUCTORA SUARGÓN, S.A DE C.V.</t>
  </si>
  <si>
    <t xml:space="preserve">CONSTRUCCIONES CONSULTORES Y COMERCIALIZADORA, S.A. DE C.V. </t>
  </si>
  <si>
    <t>OFICIOS 2022 ASIGNACIÓN, AUTORIZACIÓN Y CANCELACIÓN\20704000L-APAD-0424-22.pdf</t>
  </si>
  <si>
    <t>EXCAVACIONES Y ACARREOS TAYDE, S.A. DE C.V.</t>
  </si>
  <si>
    <t xml:space="preserve">CONSTRUCTORA GISOL, S.A. DE C.V. </t>
  </si>
  <si>
    <t xml:space="preserve">ARCAC CONSTRUCCIONES, S.A. DE C.V. </t>
  </si>
  <si>
    <t xml:space="preserve">ING. OSCAR ISRAEL PÉREZ RIVERA </t>
  </si>
  <si>
    <t>CALLE HERMENEGILDO GALEANA NÚMERO 221, COLONIA CENTRO, TOLUCA, MÉXICO.
C.P. 50000</t>
  </si>
  <si>
    <t>C. OSVALDO IBARRA MARTÍNEZ</t>
  </si>
  <si>
    <t>BOULEVARD MANUEL ÁVILA CAMACHO NÚMERO EXTERIOR 2900, NÚMERO INTERIOR 401, COLONIA LOS PIRULES, TLALNEPANTLA, MÉXICO. 
C.P. 54040</t>
  </si>
  <si>
    <t xml:space="preserve">C. MANUE ROJO CÓRDOVA </t>
  </si>
  <si>
    <t>ACO000508280</t>
  </si>
  <si>
    <t>CERRADA RETORNO NÚMERO EXTERIOR 49, NÚMERO INTERIOR 30, COLONIA AVANTE, DEMARCACIÓN TERRRITORIAL COYOACÁN, CIUDAD DE MÉXICO.
C.P. 04460</t>
  </si>
  <si>
    <t>CPZG705275C3</t>
  </si>
  <si>
    <t>C. CARLOS ALBERTO JIMÉNEZ GUTIÉRREZ</t>
  </si>
  <si>
    <t>ASJ0207117B1</t>
  </si>
  <si>
    <t>PRIVADA DE MANUEL GONZÁLEZ, S/N, COLONIA OCHO CEDROS, TOLUCA, MÉXICO. 
C.P. 50170</t>
  </si>
  <si>
    <t>OBRAS Y SERVICIOS JISA, S.A. DE C.V.</t>
  </si>
  <si>
    <t>OSJ070913P44</t>
  </si>
  <si>
    <t>CALLE JUAN LUCAS LASSAGA, NÚMERO 265, COLONIA TRÁNSITO, DEMARCACIÓN TERRITORIAL CUAUHTÉMOC, CIUDAD DE MÉXICO.
C.P. 06820</t>
  </si>
  <si>
    <t xml:space="preserve">ROMAFI PROYECTOS Y CONSTRUCCIONES, S.A DE C.V. </t>
  </si>
  <si>
    <t xml:space="preserve">C. FILEMÓN GUERRERO ORTIZ </t>
  </si>
  <si>
    <t>RPC020206CR8</t>
  </si>
  <si>
    <t>CALLE SAN FRANCISCO, NÚMERO EXTERIOR MANZANA 1, LOTE 209, NÚMERO INTERIOR 1, CONJUNTO HABITACIONAL RANCHO LA PROVIDENCIA, COACALCO, MÉXICO. 
C.P. 55710</t>
  </si>
  <si>
    <t>5510392934
5558981147</t>
  </si>
  <si>
    <t>C. DIEGO REYES SANTOS</t>
  </si>
  <si>
    <t>PRIMERA CERRADA ROSA ZARAGOZA NÚMERO EXTERIOR 19 B, NÚMERO INTERIOR 54, COLONIA CULHUACÁN CTM OBRERO SECCIÓN 6, DEMARCACIÓN TERRITORIAL COYOACÁN, CIUDAD DE MÉXICO.
C.P.04480</t>
  </si>
  <si>
    <t>552115110
552138267</t>
  </si>
  <si>
    <t>CONSTRUCCIÓN DE DESARENADOR PARA OPTIMIZAR EL FUNCIONAMIENTO DEL SISTEMA DE AGUA POTABLE, EN SANTA JUANA CENTRO, MUNICIPIO DE ALMOLOYA DE JUÁREZ.</t>
  </si>
  <si>
    <t>CUA080703GA2</t>
  </si>
  <si>
    <t>ALMOLOYA DE JUÁREZ</t>
  </si>
  <si>
    <t>TERMINACIÓN DEL SISTEMA DE AGUA POTABLE EN SAN FRANCISCO TEPEOLULCO, MUNICIPIO DE TEMASCALCINGO.</t>
  </si>
  <si>
    <t>CONSTRUCTORA Y URBANIZADORA AB, S.A. DE C.V.</t>
  </si>
  <si>
    <t>TEMASCALCINGO</t>
  </si>
  <si>
    <t>7141460137
7141460628</t>
  </si>
  <si>
    <t xml:space="preserve">CAEM-DGIG-PAD-124-22-CP </t>
  </si>
  <si>
    <t>C. RAMÓN DOMINGO RODRÍGUEZ AGUILAR</t>
  </si>
  <si>
    <t>CALLE JUAN ALDAMA NÚMERO EXTERIOR 102, NÚMERO INTERIOR B, COLONIA SANTIAGO MILTEPEC, TOLUCA, MÉXICO.
C.P. 50020</t>
  </si>
  <si>
    <t xml:space="preserve">SUPTER, S.A. DE C.V. </t>
  </si>
  <si>
    <t>ING. ILYA DISRAEL CONTRERAS VELARDE</t>
  </si>
  <si>
    <t>ISU020415AW9</t>
  </si>
  <si>
    <t>CALLE ALABAMA NÚMERO EXTERIOR 21, NÚMERO INTERIOR PISO 4, COLONIA NÁPOLES, DEMARCACIÓN TERRITORIAL BENITO JUÁREZ, CIUDAD DE MÉXICO.
C.P. 03810</t>
  </si>
  <si>
    <t xml:space="preserve">CAEM-DGIG-FID-103-22-CS </t>
  </si>
  <si>
    <t>TERMINACIÓN DEL SISTEMA DE AGUA POTABLE DE SANTA MARÍA CITENDEJÉ EN EL MUNICIPIO DE JOCOTITLÁN (OBRA NUEVA)</t>
  </si>
  <si>
    <t>CAEM-DGIG-FISE-130-22-CS</t>
  </si>
  <si>
    <t>CAEM-DGIG-FISE-140-22-CS</t>
  </si>
  <si>
    <t xml:space="preserve">CAEM-DGIG-FISE-129-22-CP </t>
  </si>
  <si>
    <t>CAEM-DGIG-FISE-126-22-CP</t>
  </si>
  <si>
    <t xml:space="preserve">CAEM-DGIG-FISE-127-22-CP </t>
  </si>
  <si>
    <t xml:space="preserve">CAEM-DGIG-FISE-128-22-CP </t>
  </si>
  <si>
    <t>OFICIOS 2022 ASIGNACIÓN, AUTORIZACIÓN Y CANCELACIÓN\20704000L-APAD-0442-22.pdf</t>
  </si>
  <si>
    <t>OFICIOS 2022 ASIGNACIÓN, AUTORIZACIÓN Y CANCELACIÓN\20704000L-APAD-0465-22.pdf</t>
  </si>
  <si>
    <t>OFICIOS 2022 ASIGNACIÓN, AUTORIZACIÓN Y CANCELACIÓN\20704000L-APAD-0464-22.pdf</t>
  </si>
  <si>
    <t>OFICIOS 2022 ASIGNACIÓN, AUTORIZACIÓN Y CANCELACIÓN\20704000L-APAD-0461-22.pdf</t>
  </si>
  <si>
    <t>OFICIOS 2022 ASIGNACIÓN, AUTORIZACIÓN Y CANCELACIÓN\20704000L-APAD-0478-22.pdf</t>
  </si>
  <si>
    <t>OFICIOS 2022 ASIGNACIÓN, AUTORIZACIÓN Y CANCELACIÓN\20704000L-APAD-OF-0333-22.pdf</t>
  </si>
  <si>
    <t xml:space="preserve">ORIENTE </t>
  </si>
  <si>
    <t>* ANTICIPO PAGADO</t>
  </si>
  <si>
    <t>CALLEJÓN SAN JUAN NÚMERO 3, COLONIA SAN FRANCISCO CUAUTLIQUIXCO, TECÁMAC, MÉXICO.
C.P. 55760</t>
  </si>
  <si>
    <t>C. ADÁN CERVANTES ÁVILA</t>
  </si>
  <si>
    <t xml:space="preserve">ESPECIALISTAS DE ALTO NIVEL APOLO, S.A. DE C.V. </t>
  </si>
  <si>
    <t>C. VÍCTOR LÓPEZ RODRÍGUEZ</t>
  </si>
  <si>
    <t>EAN050623BE7</t>
  </si>
  <si>
    <t>CALLE 15 NÚMERO EXTERIOR 7, NÚMERO INTERIOR 303, COLONIA MOCTEZUMA 1RA SECCIÓN, DEMARCACIÓN TERRITORIAL VENUSTIANO CARRANZA, CIUDAD DE MÉXICO.
C.P. 15500</t>
  </si>
  <si>
    <t xml:space="preserve">DESARROLLADORA INMOBILIARIA JAFRE, S.A. DE C.V. </t>
  </si>
  <si>
    <t>C. ESTEFANIA HERNÁNDEZ CARBAJAL</t>
  </si>
  <si>
    <t>DIJ190208NM2</t>
  </si>
  <si>
    <t>BOULEVARD ISIDRO FABELA NÚMERO 863, COLONIA DOCTORES, TOLUCA, MÉXICO.
C.P. 50060</t>
  </si>
  <si>
    <r>
      <t xml:space="preserve">OBRAS Y ACCIONES  INFRAESTRUCTURA HIDRÁULICA DEL GOBIERNO DEL ESTADO DE MÉXICO  (ACUERDO CT.E. 87 VI. SESIÓN NO. 87 EXTRAORDINARIA DEL COMITÉ TÉCNICO DEL FIDEICOMISO 1928). (OBRA NUEVA) MÁS DE UN MUNICIPIO, NAUCALPAN, VALLE DE BRAVO Y NEXTLALPAN. </t>
    </r>
    <r>
      <rPr>
        <b/>
        <sz val="12"/>
        <color theme="1"/>
        <rFont val="Arial"/>
        <family val="2"/>
      </rPr>
      <t>(CONSTRUCCIÓN Y SUPERVISIÓN DE LA OBRA DEL COLECTOR COMBINADO CON CONEXIÓN AL GRAN CANAL DEL DESAGÜE EN EL MUNICIPIO DE NEXTLALPAN). (OBRA)</t>
    </r>
  </si>
  <si>
    <r>
      <t xml:space="preserve">OBRAS Y ACCIONES  INFRAESTRUCTURA HIDRÁULICA DEL GOBIERNO DEL ESTADO DE MÉXICO  (ACUERDO CT.E. 87 VI. SESIÓN NO. 87 EXTRAORDINARIA DEL COMITÉ TÉCNICO DEL FIDEICOMISO 1928). (OBRA NUEVA) MÁS DE UN MUNICIPIO, NAUCALPAN, VALLE DE BRAVO Y NEXTLALPAN. </t>
    </r>
    <r>
      <rPr>
        <b/>
        <sz val="12"/>
        <color theme="1"/>
        <rFont val="Arial"/>
        <family val="2"/>
      </rPr>
      <t>(CONSTRUCCIÓN Y SUPERVISIÓN DE LA OBRA DEL COLECTOR COMBINADO CON CONEXIÓN AL GRAN CANAL DEL DESAGÜE EN EL MUNICIPIO DE NEXTLALPAN). (SUPERVISIÓN)</t>
    </r>
  </si>
  <si>
    <t>OFICIOS 2022 ASIGNACIÓN, AUTORIZACIÓN Y CANCELACIÓN\20704000L-APAD-OF-0187-22.pdf</t>
  </si>
  <si>
    <r>
      <t xml:space="preserve">OBRAS Y ACCIONES  INFRAESTRUCTURA HIDRÁULICA DEL GOBIERNO DEL ESTADO DE MÉXICO  (ACUERDO CT.E. 87 VI. SESIÓN NO. 87 EXTRAORDINARIA DEL COMITÉ TÉCNICO DEL FIDEICOMISO 1928). (OBRA NUEVA) MÁS DE UN MUNICIPIO, NAUCALPAN, VALLE DE BRAVO Y NEXTLALPAN. </t>
    </r>
    <r>
      <rPr>
        <b/>
        <sz val="12"/>
        <color theme="1"/>
        <rFont val="Arial"/>
        <family val="2"/>
      </rPr>
      <t>(AMPLIACIÓN, REHABILITACIÓN Y SUPERVISIÓN DE LA CONSTRUCCIÓN DE LA OBRA DEL SISTEMA DE ALCANTARILLADO SANITARIO PARA COLORINES, MUNICIPIO DE VALLE DE BRAVO). (SUPERVISIÓN)</t>
    </r>
  </si>
  <si>
    <t>ARQUITECTURA Y CONSTRUCCIÓN KERLU, S.A. DE C.V.</t>
  </si>
  <si>
    <t>DESARROLLO DE INFRAESTRUCTURA HIDRÁULICA PARA LA DISTRIBUCIÓN DE AGUA POTABLE AL INTERIOR DE LAS INSTALACIONES DE LA SEDENA EN EL MUNICIPIO DE VALLE DE BRAVO, ESTADO DE MÉXICO (OBRA NUEVA).</t>
  </si>
  <si>
    <t>OFICIOS 2022 ASIGNACIÓN, AUTORIZACIÓN Y CANCELACIÓN\20704000L-APAD-0435-22.pdf</t>
  </si>
  <si>
    <t>OFICIOS 2022 ASIGNACIÓN, AUTORIZACIÓN Y CANCELACIÓN\20704000L-APAD-OF-0498-22.pdf</t>
  </si>
  <si>
    <t>OFICIOS 2022 ASIGNACIÓN, AUTORIZACIÓN Y CANCELACIÓN\20704000L-APAD-OF-0497-22.pdf</t>
  </si>
  <si>
    <t>OFICIOS 2022 ASIGNACIÓN, AUTORIZACIÓN Y CANCELACIÓN\20704000L-CAPAD-OF-0496-22.pdf</t>
  </si>
  <si>
    <t>1ER
05/07/2022
26/12/2022</t>
  </si>
  <si>
    <t>PROYECTOS INTEGRALES TÉCNICOS CIVILES, S.A. DE C.V.</t>
  </si>
  <si>
    <t>PUESTA EN MARCHA DEL SISTEMA DE AGUA POTABLE EN LA SECCIÓN GUADALUPE, MUNICIPIO DE VILLA VICTORIA.</t>
  </si>
  <si>
    <t>TERMINACIÓN DE LA CONSTRUCCIÓN Y EQUIPAMIENTO DE LAS PLANTAS DE TRATAMIENTO EN DONGU, SAN GABRIEL Y CABECERA MUNICIPAL, MUNICIPIO DE CHAPA DE MOTA.</t>
  </si>
  <si>
    <t xml:space="preserve">CAEM-DGIG-FID-102-22-CP </t>
  </si>
  <si>
    <t xml:space="preserve">CAEM-DGIG-FISE-131-22-CP </t>
  </si>
  <si>
    <t xml:space="preserve">CAEM-DGIG-PAD-145-22-CP </t>
  </si>
  <si>
    <r>
      <t xml:space="preserve">ACCIONES DE INFRAESTRUCTURA HIDRÁULICA LOCAL, DEL GOBIERNO DEL ESTADO DE MÉXICO, (CUAERDO CTO.O.62. VIII. SESIÓN ORDINARIA NO. 62) (OBRA NUEVA) MÁS DE UN MUNICIPIO. </t>
    </r>
    <r>
      <rPr>
        <b/>
        <sz val="12"/>
        <color theme="1"/>
        <rFont val="Arial"/>
        <family val="2"/>
      </rPr>
      <t>(DRAGADO, DESAZOLVE Y RECTIFICACIÓN DE CAUCE EN TRAMOS CRÍTICOS DEL RÍO LERMA)</t>
    </r>
  </si>
  <si>
    <t>CAEM-DGIG-FID-106-22-AD (SIN CONTRATO)</t>
  </si>
  <si>
    <t>SERVICIOS DE RECUPERACIÓN  EN AGUA, S.A. DE C.V.</t>
  </si>
  <si>
    <r>
      <t xml:space="preserve">ASIGNACIÓN DE RECURSOS PARA OBRAS DE INFRAESTRUCTURA HIDRÁULICA (2022) (OBRA NUEVA) </t>
    </r>
    <r>
      <rPr>
        <b/>
        <sz val="12"/>
        <color theme="1"/>
        <rFont val="Arial"/>
        <family val="2"/>
      </rPr>
      <t>(SESIÓN 86)</t>
    </r>
    <r>
      <rPr>
        <sz val="12"/>
        <color theme="1"/>
        <rFont val="Arial"/>
        <family val="2"/>
      </rPr>
      <t xml:space="preserve">
</t>
    </r>
    <r>
      <rPr>
        <b/>
        <sz val="12"/>
        <color theme="1"/>
        <rFont val="Arial"/>
        <family val="2"/>
      </rPr>
      <t>EMBOVEDAMIENTO DE 213 M DEL RÍO SAN JAVIER, COLONIA RINCONADA DE ARBOLEDAS, MUNICIPIO DE ATIZAPÁN DE ZARAGOZA.</t>
    </r>
  </si>
  <si>
    <r>
      <t xml:space="preserve">ASIGNACIÓN DE RECURSOS PARA OBRAS DE INFRAESTRUCTURA HIDRÁULICA (2022) (OBRA NUEVA) </t>
    </r>
    <r>
      <rPr>
        <b/>
        <sz val="12"/>
        <color theme="1"/>
        <rFont val="Arial"/>
        <family val="2"/>
      </rPr>
      <t>(SESIÓN 86)</t>
    </r>
    <r>
      <rPr>
        <sz val="12"/>
        <color theme="1"/>
        <rFont val="Arial"/>
        <family val="2"/>
      </rPr>
      <t xml:space="preserve">
</t>
    </r>
    <r>
      <rPr>
        <b/>
        <sz val="12"/>
        <color theme="1"/>
        <rFont val="Arial"/>
        <family val="2"/>
      </rPr>
      <t>CONSTRUCCIÓN DEL COLECTOR XHINTE PARA EL SANEAMIENTO DE LA PRESA GUADALUPE.</t>
    </r>
  </si>
  <si>
    <r>
      <t xml:space="preserve">ASIGNACIÓN DE RECURSOS PARA OBRAS DE INFRAESTRUCTURA HIDRÁULICA (2022) (OBRA NUEVA) </t>
    </r>
    <r>
      <rPr>
        <b/>
        <sz val="12"/>
        <color theme="1"/>
        <rFont val="Arial"/>
        <family val="2"/>
      </rPr>
      <t>(SESIÓN 86)</t>
    </r>
    <r>
      <rPr>
        <sz val="12"/>
        <color theme="1"/>
        <rFont val="Arial"/>
        <family val="2"/>
      </rPr>
      <t xml:space="preserve">
</t>
    </r>
    <r>
      <rPr>
        <b/>
        <sz val="12"/>
        <color theme="1"/>
        <rFont val="Arial"/>
        <family val="2"/>
      </rPr>
      <t>CONSTRUCCIÓN DE LA DERIVACIÓN PARA LA CONDUCCIÓN DE AGUA HACIA EL ACUEDUCTO CHICONAUTLA Y HACIA EL TANQUE LA CALDERA, DESDE LA CONEXIÓN DE LA LÍNEA METROPOLITANA, EN LOS MUNICIPIOS DE ECATEPEC Y CHALCO.</t>
    </r>
  </si>
  <si>
    <t>GRUPO INMOBILIARIO GREEN LAND, S.A. DE C.V.</t>
  </si>
  <si>
    <r>
      <t xml:space="preserve">OBRAS Y ACCIONES  INFRAESTRUCTURA HIDRÁULICA DEL GOBIERNO DEL ESTADO DE MÉXICO  (ACUERDO CT.E. 87 VI. SESIÓN NO. 87 EXTRAORDINARIA DEL COMITÉ TÉCNICO DEL FIDEICOMISO 1928). (OBRA NUEVA) MÁS DE UN MUNICIPIO, NAUCALPAN, VALLE DE BRAVO Y NEXTLALPAN. </t>
    </r>
    <r>
      <rPr>
        <b/>
        <sz val="12"/>
        <color theme="1"/>
        <rFont val="Arial"/>
        <family val="2"/>
      </rPr>
      <t>(AMPLIACIÓN, REHABILITACIÓN Y SUPERVISIÓN DE LA CONSTRUCCIÓN DE LA OBRA DEL SISTEMA DE ALCANTARILLADO SANITARIO PARA COLORINES, MUNICIPIO DE VALLE DE BRAVO). (OBRA)</t>
    </r>
  </si>
  <si>
    <t>CONSTRUCTORA EIDRI, S.A. DE C.V.</t>
  </si>
  <si>
    <t xml:space="preserve">VALLE DE BRAVO </t>
  </si>
  <si>
    <t>OFICIOS 2022 ASIGNACIÓN, AUTORIZACIÓN Y CANCELACIÓN\20704000L-APAD-OF-1227-20.pdf</t>
  </si>
  <si>
    <t>CALI CONSTRUCCIONES Y TELECOMUNICACIONES, S.A. DE C.V.</t>
  </si>
  <si>
    <t>CONSTRUCCIONES, CONSULTORES Y COMERCIALIZADORA S.A. DE C.V.</t>
  </si>
  <si>
    <t>C. ATANASIO JUAN BASURTO DÍAZ</t>
  </si>
  <si>
    <t>CALLE FRONTERA NUMERO EXTERIOR 167, NÚMERO INTERIOR 406, COLONIA ROMA, DEMARCACIÓN TERRITORIAL CUAUHTÉMOC, CIUDAD DE MÉXICO.
C.P. 06700</t>
  </si>
  <si>
    <t>C. ALEJANDRA LUNA GAMBOA</t>
  </si>
  <si>
    <t>CCT8905199MA</t>
  </si>
  <si>
    <t>CALLE SUBIDA A SAN BERNABÉ NÚMERO EXTERIOR 37, NÚMERO INTERIOR 2, COLONIA EL ROSAL, DEMARCACIÓN TERRITORIAL LA MAGDALENA CONTRERAS, CIUDAD DE MÉXICO.
C.P. 10600</t>
  </si>
  <si>
    <t>C. PAOLA MERCADO RIVAS</t>
  </si>
  <si>
    <t>GIG071017HU3</t>
  </si>
  <si>
    <t>AVENIDA IGNACIO COMONFORT NÚMERO EXTERIOR 1300, NÚMERO INTERIOR 201, COLONIA LA PROVIDENCIA, METEPEC, MÉXICO.
C.P. 52177</t>
  </si>
  <si>
    <t>* SIN ANTICIPO</t>
  </si>
  <si>
    <t>FID 1928</t>
  </si>
  <si>
    <t>TOTALES</t>
  </si>
  <si>
    <t>CAEM-DGIG-FID-160-22-CP</t>
  </si>
  <si>
    <t>ECATEPEC
LA PAZ</t>
  </si>
  <si>
    <t>CALLE TAMAULIPAS NÚMERO EXTERIOR 150A, NÚMERO INTERIOR PISO 13, COLONIA CONDESA, DEMARCACIÓN TERRITORIAL CUAUHTÉMOC, CIUDAD DE MÉXICO.
C.P. 06140</t>
  </si>
  <si>
    <t>5555251810
5555251811</t>
  </si>
  <si>
    <t>CAEM-DGIG-FID-148-22-CP</t>
  </si>
  <si>
    <t xml:space="preserve">CAEM-DGIG-FID-146-22-CP  </t>
  </si>
  <si>
    <t>C. ESMERALDA JARAMILLO CRUZ</t>
  </si>
  <si>
    <t>CEI130509KX2</t>
  </si>
  <si>
    <t>AVENIDA TECNOLÓGICO NÚMERO EXTERIOR 1500, NÚMERO INTERIOR CASA 4, COLONIA LA ASUNCIÓN, METEPEC, MÉXICO.
C.P. 52172</t>
  </si>
  <si>
    <t xml:space="preserve">CAEM-DGIG-FISE-142-22-CS </t>
  </si>
  <si>
    <t>ING. JESÚS TADEO HERNÁNDEZ OROZCO</t>
  </si>
  <si>
    <t>PIT151218494</t>
  </si>
  <si>
    <t>CALLE PROLONGACIÓN SATURNINO CEDILLO NÚMERO 18, COLONIA SANTO TOMÁS , IXTAPALUCA, MÉXICO.
C.P. 56565</t>
  </si>
  <si>
    <t>CAEM-DGIG-FISE-139-22-CP</t>
  </si>
  <si>
    <t xml:space="preserve">CAEM-DGIG-FISE-137-22-CP </t>
  </si>
  <si>
    <t xml:space="preserve">CAEM-DGIG-FISE-133-22-CS </t>
  </si>
  <si>
    <t xml:space="preserve">ARQ. ARMANDO JIMÉNEZ SÁNCHEZ </t>
  </si>
  <si>
    <t>FIRET 2022</t>
  </si>
  <si>
    <t>CONSTRUCCIÓN DE COLECTOR PEÑITAS Y OBRAS COMPLEMENTARIAS EN EL MUNICIPIO DE TLALNEPANTLA DE BAZ, ESTADO DE MÉXICO (OBRA NUEVA).</t>
  </si>
  <si>
    <t>1ERA
15/09/2022
25/10/2022</t>
  </si>
  <si>
    <t>OFICIOS 2022 ASIGNACIÓN, AUTORIZACIÓN Y CANCELACIÓN\20704000L-CAPAD-0700-22.pdf</t>
  </si>
  <si>
    <t xml:space="preserve">CAEM-DGIG-FID-153-22-CP </t>
  </si>
  <si>
    <t>NAUCALPAN</t>
  </si>
  <si>
    <t>CAEM-DGIG-PAD-144-22-CP</t>
  </si>
  <si>
    <r>
      <rPr>
        <sz val="12"/>
        <rFont val="Arial"/>
        <family val="2"/>
      </rPr>
      <t>CAEM-DGIG-FISE-134-22-CP</t>
    </r>
    <r>
      <rPr>
        <sz val="12"/>
        <color rgb="FFFF0000"/>
        <rFont val="Arial"/>
        <family val="2"/>
      </rPr>
      <t xml:space="preserve"> </t>
    </r>
    <r>
      <rPr>
        <b/>
        <sz val="12"/>
        <color rgb="FFFF0000"/>
        <rFont val="Arial"/>
        <family val="2"/>
      </rPr>
      <t/>
    </r>
  </si>
  <si>
    <t xml:space="preserve">CAEM-DGIG-FISE-138-22-CP
</t>
  </si>
  <si>
    <t xml:space="preserve">CAEM-DGIG-FISE-132-22-CP </t>
  </si>
  <si>
    <t xml:space="preserve">PERFORACIÓN DE POZO PROFUNDO CARACOLES II, EN LA COLONIA JORGE JIMÉNEZ CANTÚ, MUNICIPIO DE TLALNEPANTLA DE BAZ (OBRA NUEVA). </t>
  </si>
  <si>
    <t>PERFORACIÓN, EQUIPAMIENTO ELECTROMECÁNICO Y LÍNEA DE CONDUCCIÓN DE POZO TEPEOLULCO, EN LA COLONIA LOMAS DE TEPEOLULCO ZONA ORIENTE, MUNICIPIO DE TLALNEPANTLA DE BAZ (OBRA NUEVA).</t>
  </si>
  <si>
    <t>TLALNEPANTLA DE BAZ</t>
  </si>
  <si>
    <t>AVENIDA ALFREDO DEL MAZO NÚMERO EXTERIOR 202 A, NÚMERO INTERIOR LOCAL 32, COLONIA ZONA INDUSTRIAL TOLUCA, MÉXICO.
C.P. 50070</t>
  </si>
  <si>
    <t xml:space="preserve">GERVEZ, S.A. DE C.V. </t>
  </si>
  <si>
    <t xml:space="preserve">C. GERARDO ULISES CRUZ ALAVEZ </t>
  </si>
  <si>
    <t>GER151120M84</t>
  </si>
  <si>
    <t>4A CDA FRESNO NÚMERO EXTERIOR MZ 10, NÚMERO INTERIOR LT9, COLONIA CONSEJO AGRARISTA MEXICANO, DEMARCACIÓN TERRITORIAL IZTAPALAPA, CIUDAD DE MÉXICO.
C.P. 09760</t>
  </si>
  <si>
    <t xml:space="preserve">CONTROL DE EROSIÓN, S.A. DE C.V. </t>
  </si>
  <si>
    <t>CALLE TAMAULIPAS NÚMERO EXTERIOR 150A, NÚMERO INTERIOR PISO 13, COLONIA CONDESA, DEMARCACIÓN TERRITORIAL CUAUHTÉMOC, CIUDAD MÉXICO.
C.P. 06140</t>
  </si>
  <si>
    <r>
      <t xml:space="preserve">OBRAS Y ACCIONES DE INFRAESTRUCTURA HIDRÁULICA DEL GOBIERNO DEL ESTADO DE MÉXICO (ACUERDO CT.E.88.VI, SESIÓN NO.88 EXTRAORDINARIA DE COMITÉ TÉCNICO DEL FIDEICOMISO 1928). (OBRA NUEVA). MÁS DE UN MUNICIPO, SAN MATEO ATENCO, OZUMBA, TULTITLÁN, ECATEPEC Y CHALCO.
</t>
    </r>
    <r>
      <rPr>
        <b/>
        <sz val="12"/>
        <color theme="1"/>
        <rFont val="Arial"/>
        <family val="2"/>
      </rPr>
      <t>(CONSTRUCCIÓN DE CRUCES EN 60" AVENIDA INDEPENDENCIA BAJO PUENTE Y CRUCE CON CANAL DE CARTAGENA, MUNICIPIO DE TULTITLÁN)</t>
    </r>
  </si>
  <si>
    <t xml:space="preserve">HYDROINNOVACIONES CONSTRUCTIVAS, S.A. DE C.V. </t>
  </si>
  <si>
    <t xml:space="preserve">C. SERGIO ARTURO BARBA LEÓN </t>
  </si>
  <si>
    <t>HCO071213SM8</t>
  </si>
  <si>
    <t>CALLEJÓN RETORNO CERRADO ACASULCO NÚMERO 7, COLONIA ROMERO DE TERREROS, DEMARCACIÓN TERRITORIAL COYOACÁC, CIUDAD DE MÉXICO.
C.P. 04310</t>
  </si>
  <si>
    <t>5558820099
5588528134</t>
  </si>
  <si>
    <t xml:space="preserve">CAEM-DGIG-FISE-143-22-CP </t>
  </si>
  <si>
    <t>C. DORA ILIANA GARCÍA HERNÁNDEZ</t>
  </si>
  <si>
    <t>ACK190325K27</t>
  </si>
  <si>
    <t>AVENIDA MÉXICO NÚMERO EXTERIOR 337, NÚMERO INTERIOR LOCAL 14 ZONA J, COLONIA MONRAZ, GUADALAJARA JALISCO.
C.P. 44670</t>
  </si>
  <si>
    <t xml:space="preserve">CAEM-DGIG-FID-147-22-CS </t>
  </si>
  <si>
    <t xml:space="preserve">CAEM-DGIG-FID-154-22-CS </t>
  </si>
  <si>
    <t xml:space="preserve">CAEM-DGIG-FID-157-22-CS </t>
  </si>
  <si>
    <r>
      <t xml:space="preserve">OBRAS, ESTUDIOS Y PROYECTOS DE INFRAESTRUCTURA HIDRÁULICA (ACUERDO CT.E. 87 V. SESIÓN NO. 87 EXTRAORDINARIA DEL COMITÉ TÉCNICO DEL FIDEICOMISO 1928) MAS DE UN MUNCIPIO
</t>
    </r>
    <r>
      <rPr>
        <b/>
        <sz val="12"/>
        <color theme="1"/>
        <rFont val="Arial"/>
        <family val="2"/>
      </rPr>
      <t>(CONSTRUCCIÓN DEL SISTEMA DE ALCANTARILLADO SANITARIO EN SAN FELIPE COAMANGO (ETAPA 3 DE 3), MUNICIPIO DE CHAPA DE MOTA)</t>
    </r>
  </si>
  <si>
    <t>1ER
01/09/2022
14/10/2022</t>
  </si>
  <si>
    <t>1ER
03/10/2022
30/12/2022</t>
  </si>
  <si>
    <t xml:space="preserve">CAEM-DGIG-PAD-191-22-CS </t>
  </si>
  <si>
    <t xml:space="preserve">CAEM-DGIG-PAD-172-22-CP </t>
  </si>
  <si>
    <t>TERMINACIÓN DE OBRA COMPLEMENTARIA EN EL POZO PROFUNDO Y LÍNEA DE CONDUCCIÓN EN LA LOCALIDAD DEL RINCÓN DE LA CANDELARIA, MUNICIPIO DE ATLACOMULCO</t>
  </si>
  <si>
    <t>OFICIOS 2022 ASIGNACIÓN, AUTORIZACIÓN Y CANCELACIÓN\20704000L-APAD-0756-22.pdf</t>
  </si>
  <si>
    <t xml:space="preserve">CONSTRUCTURA GISOL, S.A. DE C.V. </t>
  </si>
  <si>
    <t>CG1790301QD9</t>
  </si>
  <si>
    <t xml:space="preserve">72221151110
7222138267
</t>
  </si>
  <si>
    <t>CAEM-DGIG-FIRET-203-22-CP</t>
  </si>
  <si>
    <t>CAEM-DGIG-FIRET-202-22-CP</t>
  </si>
  <si>
    <t>FINAL
31/10/2022</t>
  </si>
  <si>
    <t>OFICIOS 2022 ASIGNACIÓN, AUTORIZACIÓN Y CANCELACIÓN\20704000L-APAD-0753-22.pdf</t>
  </si>
  <si>
    <t>OFICIOS 2022 ASIGNACIÓN, AUTORIZACIÓN Y CANCELACIÓN\20704000L-APAD-0754-22.pdf</t>
  </si>
  <si>
    <t>8 EST
FINAL</t>
  </si>
  <si>
    <t>CONSTRUCCIÓN DE PRIMERA ETAPA DEL COLECTOR SOLIDARIDAD EN EL MUNICIPIO DE CHALCO, ESTADO DE MÉXICO (OBRA NUEVA).</t>
  </si>
  <si>
    <t xml:space="preserve">CAEM-DGIG-FISE-141-22-CS </t>
  </si>
  <si>
    <t>1ER
28/07/2022
25/10/2022
2DA
07/10/2022
29/12/2022</t>
  </si>
  <si>
    <t>TERMINADA</t>
  </si>
  <si>
    <t>OFICIOS 2022 ASIGNACIÓN, AUTORIZACIÓN Y CANCELACIÓN\20704000L-APAD-0247-22.pdf
20704000L-APAD-0784-22</t>
  </si>
  <si>
    <t>PERFORACIÓN, DESARROLLO Y AFORO DE POZO PROFUNDO (HASTA 300) EN LA LOCALIDAD DE SAN JUAN TOCUILA (TOCUILA), MUNICIPIO DE OTUMBA (OBRA NUEVA)</t>
  </si>
  <si>
    <t>OFICIOS 2022 ASIGNACIÓN, AUTORIZACIÓN Y CANCELACIÓN\20704000L-APAD-0784-22.pdf</t>
  </si>
  <si>
    <t>AMPLIACIÓN Y REHABILITACIÓN DE LA RED DE ATARJEAS EN LA COLONIA CARRIL DEL CARMEN DE LA LOCALIDAD DE EL CARMEN, MUNICIPIO DE IXTAPALUCA (OBRA NUEVA)</t>
  </si>
  <si>
    <t>IXTAPALUCA</t>
  </si>
  <si>
    <t>EQUIPAMIENTO ELECTROMÉCANICO DE POZO PROFUNDO Y LÍNEA DE CONDUCCIÓN DEL POZO "LA ERA", EN LA COMUNIDAD DE TEPETLAOXTOC DE HIDALGO, MUNICIPIO DE TEPETLAOXTOC (OBRA NUEVA)</t>
  </si>
  <si>
    <t>TEPETLAOXTOC</t>
  </si>
  <si>
    <t>CONSTRUCCIÓN DE COLECTOR SANITARIO EN LA CALLE SAN ANDRÉS OCOTLÁN EN LA LOCALIDAD DE CHAPULTEPEC, MUNICIPIO DE CHAPULTEPEC (OBRA NUEVA)</t>
  </si>
  <si>
    <t>CHAPULTEPEC</t>
  </si>
  <si>
    <t>REHABILITACIÓN DEL SISTEMA DE AGUA POTABLE DE LA COMUNIDAD DE CARNICERÍA, MUNICIPIO DE TEMASCALTEPEC (OBRA NUEVA)</t>
  </si>
  <si>
    <t>TEMASCALTEPEC</t>
  </si>
  <si>
    <t>ESTIMADO 2022</t>
  </si>
  <si>
    <t xml:space="preserve">CAEM-DGIG-FISE-186-22-CS </t>
  </si>
  <si>
    <t>OFICIOS 2022 ASIGNACIÓN, AUTORIZACIÓN Y CANCELACIÓN\20704000L-APAD-0173-22.pdf
20704000L-AMPAD-0701-222</t>
  </si>
  <si>
    <t>OFICIOS 2022 ASIGNACIÓN, AUTORIZACIÓN Y CANCELACIÓN\20704000L-APAD-0173-22.pdf
20704000L-AMPAD-0701-222</t>
  </si>
  <si>
    <t>OFICIOS 2022 ASIGNACIÓN, AUTORIZACIÓN Y CANCELACIÓN\20704000L-APAD-0227-22.pdf
20704000L-AMPAD-0701-222</t>
  </si>
  <si>
    <t>%ESTIMADO VS CONTRATADO</t>
  </si>
  <si>
    <t>FINAL 
08/12/2022</t>
  </si>
  <si>
    <t>1.5 MDP</t>
  </si>
  <si>
    <t>3.5 MDP</t>
  </si>
  <si>
    <t xml:space="preserve">CAEM-DGIG-FID-192-22-CP 
</t>
  </si>
  <si>
    <t>1ERA
07/10/2022
29/12/2022</t>
  </si>
  <si>
    <t>1ER
03/09/2022
23/10/2022
2DO
24/10/2022
30/10/2022</t>
  </si>
  <si>
    <t>OFICIOS 2022 ASIGNACIÓN, AUTORIZACIÓN Y CANCELACIÓN\20704000L-APAD-FISE-0813-22.pdf</t>
  </si>
  <si>
    <t>OFICIOS 2022 ASIGNACIÓN, AUTORIZACIÓN Y CANCELACIÓN\20704000L-APAD-0801-22.pdf</t>
  </si>
  <si>
    <t>OFICIOS 2022 ASIGNACIÓN, AUTORIZACIÓN Y CANCELACIÓN\20704000L-CAPAD-OF-0937-22.pdf</t>
  </si>
  <si>
    <t>AJUSTE</t>
  </si>
  <si>
    <t>OFICIOS 2022 ASIGNACIÓN, AUTORIZACIÓN Y CANCELACIÓN\20704000L-CAPAD-00776-22.pdf</t>
  </si>
  <si>
    <t xml:space="preserve">CAEM-DGIG-FID-189-22-CS 
</t>
  </si>
  <si>
    <t>OFICIOS 2022 ASIGNACIÓN, AUTORIZACIÓN Y CANCELACIÓN\20704000L-APAD-0815-22.pdf</t>
  </si>
  <si>
    <t xml:space="preserve">PERFORACIÓN  DESARROLLO  Y AFORO DE   POZO PROFUNDO  EN   LA  COMUNIDAD DE   EL PALMITO  (SAN JOSE EL  PALMITO): PERFORACIÓN EXPLORATORIA OE  12  1/4"  DE  DIÁMETRO A 350 M DE   PROFUNDIDAD  Y  AMIPLIACIONES   CORRESPONDIENTES   PARA COLOCACIÓN DE ADEME DE   12"  Y  CONTRA ADEME  DE  20".  TIPO OE  MATERIAL APROXIMADO A  DIFERENTES PROFUNDIDADES OUE SE ESPERA DURANTE LA PERFORACIÓN.
MATERIAL  TIPO III   290 M. MATERIAL TIPO II 50 M  Y MATERIAL TIPO I   10  M,  LA  UBICACIÓN  SE ENCUENTRA  SEGÚN  El  ESTUDIO EXISTENTE  EN  LAS COORDENADAS  19"55"53.1"N 99" 39" 15.5"W.  PARA  LA   PRUEBA DE  DESARROLLO  Y AFORO SE  NECESITARÁ  EQUIPO DE  BOMBEO SUMERGIBLE O EL OUE  SE REQUIERA PARA OBTENER DE  20  A 40 L.PS.  CON UN DIÁMETRO DE COLUMNA  DE   5"  O   EL  REQUERIDO PARA OBTENER  El  GASTO ANTES  MENCIONADO  EL PERIODO   PROPUESTO  ES DE 72 HORAS  DE   DESARROLLO  Y  24   HORAS  DE  AFORO.   EL ESTÁTICO A 160  M  DE  COLUMNA  O  LA QUE SE  REQUIERA EN  SU  MOMENTO ,  ASIMISMO  LA CAPACIDAD  DE   LA BOMBA DEPENDERÁ  DE  LOS  FACTORES  ANTES  MENCIONADOS (OBRA NUEVA).
</t>
  </si>
  <si>
    <t>XALATLACO</t>
  </si>
  <si>
    <t>EL ORO</t>
  </si>
  <si>
    <t>TENUN CONSTRUCCIONES, S.A. C.V.</t>
  </si>
  <si>
    <t xml:space="preserve">C. JOSÉ ANTONIO TENORIO ESQUIVEL </t>
  </si>
  <si>
    <t>7222167911
7222750295</t>
  </si>
  <si>
    <r>
      <t xml:space="preserve">OBRAS Y ACCIONES DE INFRAESTRUCTURA HIDRÁULICA DEL GOBIERNO DEL ESTADO DE MÉXICO (ACUERDO CT.E.88.VI, SESIÓN NO.88 EXTRAORDINARIA DE COMITÉ TÉCNICO DEL FIDEICOMISO 1928). (OBRA NUEVA). MÁS DE UN MUNICIPO, SAN MATEO ATENCO, OZUMBA, TULTITLÁN, ECATEPEC Y CHALCO.
</t>
    </r>
    <r>
      <rPr>
        <b/>
        <sz val="12"/>
        <color theme="1"/>
        <rFont val="Arial"/>
        <family val="2"/>
      </rPr>
      <t xml:space="preserve">(AMPLIACIONES, DESARROLLO Y AFORO DE POZO PROFUNDO EN LA COMUNIDAD DE OZUMBA DE ALZATE, MUNICIPIO DE OZUMBA)
</t>
    </r>
    <r>
      <rPr>
        <sz val="12"/>
        <color theme="1"/>
        <rFont val="Arial"/>
        <family val="2"/>
      </rPr>
      <t xml:space="preserve">
</t>
    </r>
  </si>
  <si>
    <t>CAEM-DGIG-PROAGUA-225-22-CP</t>
  </si>
  <si>
    <t>7222701875
7225107495</t>
  </si>
  <si>
    <t>CAEM-DGIG-PROAGUA-227-22-CP</t>
  </si>
  <si>
    <t>CAEM-DGIG-PROAGUA-226-22-CP</t>
  </si>
  <si>
    <r>
      <t xml:space="preserve">OBRAS Y ACCIONES DE INFRAESTRUCTURA HIDRÁULICA DEL GOBIERNO DEL ESTADO DE MÉXICO (ACUERDO CT.E.88.VI, SESIÓN NO.88 EXTRAORDINARIA DE COMITÉ TÉCNICO DEL FIDEICOMISO 1928). (OBRA NUEVA). MÁS DE UN MUNICIPO, SAN MATEO ATENCO, OZUMBA, TULTITLÁN, ECATEPEC Y CHALCO.
</t>
    </r>
    <r>
      <rPr>
        <b/>
        <sz val="12"/>
        <color theme="1"/>
        <rFont val="Arial"/>
        <family val="2"/>
      </rPr>
      <t>(TERMINACIÓN Y PUESTA EN OPERACIÓN DEL CÁRCAMO DE REBOMBEO PARA EL DESALOJO DE AGUAS PLUVIALES HACIA EL CAUCE DEL RÍO LERMA, MUNICIPIO DE SAN MATEO ATENCO)</t>
    </r>
  </si>
  <si>
    <t xml:space="preserve">VISIÓN INMOBILIARIA Y EDIFICACIÓN, S.A. DE C.V. </t>
  </si>
  <si>
    <t>C. MARIO ZEA ORTEGA</t>
  </si>
  <si>
    <t>VIE080520371</t>
  </si>
  <si>
    <t>CALLE REPPUBLICA DE BELICE NÉMERO 112, COLONIA AMÉRICAS, TOLUCA, MÉXICO.
C.P. 50130</t>
  </si>
  <si>
    <t xml:space="preserve">FUENTES </t>
  </si>
  <si>
    <r>
      <t xml:space="preserve">OBRAS Y ACCIONES DE INFRAESTRUCTURA HIDRÁULICA DEL GOBIERNO DEL ESTADO DE MÉXICO (ACUERDO CT.0.63.VI.a, SESIÓN NO. 63 ORDINARIA DEL COMITÉ TÉCNICO DEL FIDEICOMISO 1928) (OBRA NUEVA). MÁS DE UN MUNICIPIO, ZUMPAMGO Y NEXTLALPAN
</t>
    </r>
    <r>
      <rPr>
        <b/>
        <sz val="12"/>
        <color theme="1"/>
        <rFont val="Arial"/>
        <family val="2"/>
      </rPr>
      <t xml:space="preserve">
 (PERFORACIÓN, AFORO, DESARROLLO E INTERCONEXIÓN. (PERFORACIÓN, DESARROLLO Y AFORO  DE POZO PROFUNDO EN SAN JUAN ATENANCO, MUNICIPIO DE NEXTLALPAN )).</t>
    </r>
  </si>
  <si>
    <t>ESTUDIOS Y CONSTRUCCIÓN GEOYEK, S.A. DE C.V.</t>
  </si>
  <si>
    <t>C. GEMMA BERNAL GUADARRAMA</t>
  </si>
  <si>
    <t>ECG171201Q60</t>
  </si>
  <si>
    <t xml:space="preserve">
NEXTLALPAN</t>
  </si>
  <si>
    <t xml:space="preserve">GRUPO CONSTRUCTOR GEROCA, S.A. DE C.V. </t>
  </si>
  <si>
    <t>C. GERMAN GARCÍA DEHEZA</t>
  </si>
  <si>
    <t>GCG1512075E7</t>
  </si>
  <si>
    <t>CALLE LA HUERTITA NÚMERO 51, COLONIA SANTA CRUZ DE ABAJO, TEXCOCO, MÉXICO.
C.P. 56205</t>
  </si>
  <si>
    <r>
      <t xml:space="preserve">OBRAS Y ACCIONES DE INFRAESTRUCTURA HIDRÁULICA DEL GOBIERNO DEL ESTADO DE MÉXICO (ACUERDO CT.0.63.VI.a, SESIÓN NO. 63 ORDINARIA DEL COMITÉ TÉCNICO DEL FIDEICOMISO 1928) (OBRA NUEVA). MÁS DE UN MUNICIPIO, ZUMPAMGO Y NEXTLALPAN
</t>
    </r>
    <r>
      <rPr>
        <b/>
        <sz val="12"/>
        <color theme="1"/>
        <rFont val="Arial"/>
        <family val="2"/>
      </rPr>
      <t xml:space="preserve">
(PERFORACIÓN, AFORO, DESARROLLO E INTERCONEXIÓN. (PERFORACIÓN, DESARROLLO Y AFORO  DE POZO PROFUNDO EN PRADOS DE SAN FRANCISCO, MUNICIPIO DE NEXTLALPAN)).</t>
    </r>
  </si>
  <si>
    <t>C. EDUARDO JUAKEY SOTELO</t>
  </si>
  <si>
    <t>2821104957
5513656580</t>
  </si>
  <si>
    <t>C.MARIO ZEA ORTEGA</t>
  </si>
  <si>
    <t>ING. TEODORO ALBARRÁN PLIEGO, S.A. DE C.V.</t>
  </si>
  <si>
    <t>C. ALEJANDRO PERUCHO HERNÁNDEZ</t>
  </si>
  <si>
    <t>ITA740802S85</t>
  </si>
  <si>
    <t>CALLE ENSENADA NÚMERO 108, COLONIA CONDESA, DEMARCACIÓN TERRITORIAL CUAUHTÉMOC, CIUDAD DE MÉXICO.
C.P. 06140</t>
  </si>
  <si>
    <t>CONSTRUCCIÓN  DE   LINEA DE  CONDUCCIÓN  DE AGUA POTABLE CON  UNA   LONGITUD  DE 3.216 M  CON TUBEIÚA OE  2  1/2" DE PEAD DE  DIÁMETRO, RED DE  DISTRIBUCIÓN CON  UNA LONGITUD DE  2.808 M EN TUBERÍA 2" DE  DIÁMETRO DE PEAD.  CONTRUCCIÓN DE TANQUE DE REGULACIÓN DE  20 M3 OE CAPACIDAD DE CONCRETO REFORZADO E INSTALACIÓN DE 2O TOMAS  DOMICILIARIAS.  LOS   CUALES  SE   CONSTRUIRÁN  EN   LAS   CALLES  DE  EL  PARAJE CORRALITOS DE  LA COMUNIDAD ÁGUILA (LA MESA) (OBRA NUEVA) XALATLACO.</t>
  </si>
  <si>
    <t xml:space="preserve">CONSTRUCCIÓN DEL SUBCOLECTOR Y COLECTOR DE DRENAJE SANITARIO EN  EL PARAJE LA FINCA DE LA COMUNIDAD DE  SAN JOSÉ, DEL  TUNAL, LA CUAL CONSISTE EN:  SUMINISTRO E INSTALACIÓN DE TUBERÍA DE  30 CM DE DIÁMETRO DE PEAD CON UNA LONGITUD DE 550 M Y 760 M DE TUBERÍA DE 38 CM DE DIÁMETRO DE PEAD Y 35 POZOS DE VISITA PARALELO AL RÍO LAS LAJAS A PARTIR DE LA CARRETERA  ESTATAL LIBRE 470  TLALNEPANTLA - ATLACOMULCO (OBRA NUEVA). ATLACOMULCO.
</t>
  </si>
  <si>
    <t xml:space="preserve">EQUIPAMIENTO ELECTROMECÁNICO DE  POZO PROFUNDO CON DOS BOMBAS SUMERGIBLES DE  10  HP Y GASTO DE 4.75 LPS;  Y CONSTRUCCIÓN  DE LÍNEA DE  CONDUCCIÓN  DE AGUA POTABLE CON UNA LONGITUD DE 797 M CON TUBERÍA DE 3" DE  PEAD DE DIÁMETRO. RED DE  DISTRIBUCIÓN CON UNA LONGITUD  DE 1.053 M EN   TUBERÍA DE 2" A  4" DE  DIÁMETRO DE PEAD, CONSTRUCCIÓN  DE  TANQUE  DE  REGULACIÓN DE 50 M3  DE CAPACIDAD DE CONCRETO REFORZADO E INSTALACIÓN DE 120 TOMAS DOMICILIARIAS. LOS CUALES SE CONSTRUIRÁN EN LAS CALLES DE LA COLONIA FRANCISCO  l.  MADERO DE EL ORO DE HlDALGO (OBRA NUEVA). EL ORO
</t>
  </si>
  <si>
    <t xml:space="preserve">CONSTRUCCIÓN  DE   EMISOR  SANITARIO  EN  VALLE  OE  BRAVO, EL CUAL  CONSISTE  EN   LA CONSTRUCCIÓN  DE  EMISOR A PRESIÓN  CON  UNA  LONGITUD DE   446  M  DE  TUBERÍA DE ACERO  DE   2  1/2  PULGADAS, 1  CAJA OE   VALVULAS  DE   SECCIONAMIENTO  Y  1   CAJA  DE VALVULAS  DE  ADMISIÓN EXPULSIÓN, CÁRCAMO  DE  BOMBEO, SUMINISTRO  E  INSTALACIÓN DE PIEZAS ESPECIALES.  2 MOT0BOMBAS CENTRIFUGAS VERTICALES DE  UNA  ETAPA DE  55 HP. NICHO  PARA EQUIPO DE MEDICION. TRANSFORMADOR TIPO PEDESTAL 15 KVA, LINEA DE MEDIA TENSIÓN TRIFÁSICA AÉREA 600 M EN  LA CALLE MORA DE LA LOCALIDAD DE  VALLE DE BRAVO (OBRA NUEVA). VALLE DE BRAVO
</t>
  </si>
  <si>
    <t>ADIBSA CONSTRUCCIONES, S.A. DE C.V.</t>
  </si>
  <si>
    <t>C. KEVIN ADRIÁN HERNÁNDEZ LOYOLA</t>
  </si>
  <si>
    <t>ACO160707FRA</t>
  </si>
  <si>
    <t>AVENIDA CAMINO REAL DE LA PLATA, NÚMERO EXTERIOR 102, NÚMERO INTERIOR EDIF D DEP 704, PACHUCA, HIDALGO.
C.P. 42084</t>
  </si>
  <si>
    <t xml:space="preserve">CAEM-DGIG-PROAGUA-237-22-CS
</t>
  </si>
  <si>
    <t xml:space="preserve">CAEM-DGIG-PROAGUA-238-22-CS
</t>
  </si>
  <si>
    <t>OFICIOS 2022 ASIGNACIÓN, AUTORIZACIÓN Y CANCELACIÓN\20704000L-APAD-OF-0940-22.pdf</t>
  </si>
  <si>
    <t>NEZAHULCÓYOTL</t>
  </si>
  <si>
    <t xml:space="preserve">30/12/2023
GATOS NO RECURABLES </t>
  </si>
  <si>
    <r>
      <t xml:space="preserve">OBRAS Y ACCIONES DE INFRAESTRUCTURA HIDRÁULICA DEL GOBIERNO DEL ESTADO DE MÉXICO (ACUERDO CT.0.63.VI.a, SESIÓN NO. 63 ORDINARIA DEL COMITÉ TÉCNICO DEL FIDEICOMISO 1928) (OBRA NUEVA). MÁS DE UN MUNICIPIO, ZUMPAMGO Y NEXTLALPAN
</t>
    </r>
    <r>
      <rPr>
        <b/>
        <sz val="12"/>
        <color theme="1"/>
        <rFont val="Arial"/>
        <family val="2"/>
      </rPr>
      <t xml:space="preserve">
(PERFORACIÓN, AFORO, DESARROLLO E INTERCONEXIÓN. (PERFORACIÓN, DESARROLLO Y AFORO  DE POZO PROFUNDO EN PUEBLO NUEVO, MUNICIPIO DE ZUMPANGO).</t>
    </r>
  </si>
  <si>
    <t xml:space="preserve">CAEM-DGIG-FID-233-22-CP </t>
  </si>
  <si>
    <t xml:space="preserve">CAEM-DGIG-FID-234-22-CP </t>
  </si>
  <si>
    <t>16/12/2022
FINAL</t>
  </si>
  <si>
    <t>1ER
29/10/2022
15/12/2022</t>
  </si>
  <si>
    <t>1ER
10/12/2022
09/02/2023</t>
  </si>
  <si>
    <t>1ER
16/12/2022
03/03/2023</t>
  </si>
  <si>
    <t xml:space="preserve">* EN PROCESO DE RESCISIÓN DE CONTRATO </t>
  </si>
  <si>
    <t>OFICIOS 2022 ASIGNACIÓN, AUTORIZACIÓN Y CANCELACIÓN\20704000L-APAD-FISE-1145-22.pdf</t>
  </si>
  <si>
    <t>OFICIOS 2022 ASIGNACIÓN, AUTORIZACIÓN Y CANCELACIÓN\20704000L-APAD-OF-1265-20.pdf</t>
  </si>
  <si>
    <t xml:space="preserve">CAEM-DGIG-FID-244-22-CS </t>
  </si>
  <si>
    <r>
      <t xml:space="preserve">ACCIONES DE INFRAESTRUCTURA HIDRÁULICA LOCAL, DEL GOBIERNO DEL ESTADO DE MÉXICO, (CUAERDO CTO.O.62. VIII. SESIÓN ORDINARIA NO. 62) (OBRA NUEVA) MÁS DE UN MUNICIPIO. 
</t>
    </r>
    <r>
      <rPr>
        <b/>
        <sz val="12"/>
        <color theme="1"/>
        <rFont val="Arial"/>
        <family val="2"/>
      </rPr>
      <t>(AMPLIACIÓN REHABILITACIÓN DEL SISTEMA DE DRENAJE SANITARIO DE LA LOCALIDAD DE EJIDO DE DOLORES, MUNICIPIO DE TEMOAYA)</t>
    </r>
  </si>
  <si>
    <t xml:space="preserve">11/01/2023
</t>
  </si>
  <si>
    <t xml:space="preserve">CAEM-DGIG-PRODDER-245-22-AD </t>
  </si>
  <si>
    <t xml:space="preserve">CAEM-DGIG-PRODDER-240-22-CS </t>
  </si>
  <si>
    <t xml:space="preserve">CAEM-DGIG-PRODDER-239-22-CS </t>
  </si>
  <si>
    <t xml:space="preserve">CAEM-DGIG-PRODDER-230-22-CP </t>
  </si>
  <si>
    <t xml:space="preserve">CAEM-DGIG-PRODDER-228-22-CP </t>
  </si>
  <si>
    <t xml:space="preserve">CAEM-DGIG-FISE-156-22-CP </t>
  </si>
  <si>
    <t>1ER
16/12/20222
30/03/2023</t>
  </si>
  <si>
    <t>1ER
01/12/2022
31/12/2022</t>
  </si>
  <si>
    <t xml:space="preserve">CAEM-DGIG-FID-231-22-CP
</t>
  </si>
  <si>
    <t xml:space="preserve">CAEM-DGIG-FID-232-22-CP </t>
  </si>
  <si>
    <t xml:space="preserve">CAEM-DGIG-FID-222-22-CP
</t>
  </si>
  <si>
    <r>
      <t xml:space="preserve">OBRAS Y ACCIONES DE INFRAESTRUCTURA HIDRÁULICA DEL GOBIERNO DEL ESTADO DE MÉXICO (ACUERDO CT.0.63.VI.a, SESIÓN NO. 63 ORDINARIA DEL COMITÉ TÉCNICO DEL FIDEICOMISO 1928) (OBRA NUEVA). MÁS DE UN MUNICIPIO, ZUMPAMGO Y NEXTLALPAN
</t>
    </r>
    <r>
      <rPr>
        <b/>
        <sz val="12"/>
        <color theme="1"/>
        <rFont val="Arial"/>
        <family val="2"/>
      </rPr>
      <t xml:space="preserve">
(PERFORACIÓN, AFORO, DESARROLLO E INTERCONEXIÓN. (PERFORACIÓN, DESARROLLO Y AFORO  DE POZO PROFUNDO EN Bo. SAN JUAN, MUNICIPIO DE ZUMPANGO)).</t>
    </r>
  </si>
  <si>
    <t xml:space="preserve">FINAL </t>
  </si>
  <si>
    <t>1ERA
06/12/2022
15/12/2022</t>
  </si>
  <si>
    <t>OFICIOS 2022 ASIGNACIÓN, AUTORIZACIÓN Y CANCELACIÓN\20704000L-APAD-1178-22.pdf</t>
  </si>
  <si>
    <t>OFICIOS 2022 ASIGNACIÓN, AUTORIZACIÓN Y CANCELACIÓN\20704000L-APAD-1179-22.pdf</t>
  </si>
  <si>
    <t>05/12/2022
(TOTAL)</t>
  </si>
  <si>
    <r>
      <t xml:space="preserve">* ZONA RURAL
</t>
    </r>
    <r>
      <rPr>
        <b/>
        <sz val="12"/>
        <color rgb="FF0000FF"/>
        <rFont val="Arial"/>
        <family val="2"/>
      </rPr>
      <t xml:space="preserve">*ANTICIPO PAGADO
</t>
    </r>
  </si>
  <si>
    <r>
      <t xml:space="preserve">* ZONA RURAL
</t>
    </r>
    <r>
      <rPr>
        <b/>
        <sz val="12"/>
        <color rgb="FF0000FF"/>
        <rFont val="Arial"/>
        <family val="2"/>
      </rPr>
      <t xml:space="preserve">
* ANTICIPO PAGADO
</t>
    </r>
  </si>
  <si>
    <r>
      <t xml:space="preserve">* ZONA URBANA
</t>
    </r>
    <r>
      <rPr>
        <b/>
        <sz val="12"/>
        <color rgb="FF0000FF"/>
        <rFont val="Arial"/>
        <family val="2"/>
      </rPr>
      <t xml:space="preserve">* ANTICIPO PAGADO
</t>
    </r>
  </si>
  <si>
    <t xml:space="preserve">* ANTICIPO PAGADO
</t>
  </si>
  <si>
    <r>
      <t xml:space="preserve">GLOBAL
</t>
    </r>
    <r>
      <rPr>
        <b/>
        <sz val="12"/>
        <color rgb="FFFF0000"/>
        <rFont val="Arial"/>
        <family val="2"/>
      </rPr>
      <t>*Traspaso de recurso con el oficio 20704000l-TRAPAD-OF-1152-22</t>
    </r>
  </si>
  <si>
    <t>OFICIOS 2022 ASIGNACIÓN, AUTORIZACIÓN Y CANCELACIÓN\20704000L-TRAPAD-OF-1152-22.pdf</t>
  </si>
  <si>
    <t>OFICIOS 2022 ASIGNACIÓN, AUTORIZACIÓN Y CANCELACIÓN\20704000L-TRAPAD-OF-1152-22.pdf
OFICIOS 2022 ASIGNACIÓN, AUTORIZACIÓN Y CANCELACIÓN\2070400L-AMAPAD-OF-1153-22.pdf</t>
  </si>
  <si>
    <r>
      <t xml:space="preserve">OBRAS Y ACCIONES  INFRAESTRUCTURA HIDRÁULICA DEL GOBIERNO DEL ESTADO DE MÉXICO  (ACUERDO CT.E. 87 VI. SESIÓN NO. 87 EXTRAORDINARIA DEL COMITÉ TÉCNICO DEL FIDEICOMISO 1928). (OBRA NUEVA) MÁS DE UN MUNICIPIO, NAUCALPAN, VALLE DE BRAVO Y NEXTLALPAN.
</t>
    </r>
    <r>
      <rPr>
        <b/>
        <sz val="12"/>
        <rFont val="Arial"/>
        <family val="2"/>
      </rPr>
      <t>(REHABILITACIÓN DEL COLECTOR MARGINAL PARA LA BARRANCA TECAMACHALCO Y SAN JOAQUÍN ) (COLECTOR TECAMACHALCO) (OBRA)</t>
    </r>
  </si>
  <si>
    <r>
      <t xml:space="preserve">OBRAS Y ACCIONES  INFRAESTRUCTURA HIDRÁULICA DEL GOBIERNO DEL ESTADO DE MÉXICO  (ACUERDO CT.E. 87 VI. SESIÓN NO. 87 EXTRAORDINARIA DEL COMITÉ TÉCNICO DEL FIDEICOMISO 1928). (OBRA NUEVA) MÁS DE UN MUNICIPIO, NAUCALPAN, VALLE DE BRAVO Y NEXTLALPAN.
</t>
    </r>
    <r>
      <rPr>
        <sz val="12"/>
        <rFont val="Arial"/>
        <family val="2"/>
      </rPr>
      <t xml:space="preserve">
</t>
    </r>
    <r>
      <rPr>
        <b/>
        <sz val="12"/>
        <rFont val="Arial"/>
        <family val="2"/>
      </rPr>
      <t>(SUPERVISIÓN TÉCNICA Y ADMINISTRATIVA EXTERNA PARA LA REHABILITACIÓN DE LOS COLECTORES SAN JOAQUÍN Y TECAMACHALCO) (COLECTOR TECAMACHALCO) (SUPERVISIÓN)</t>
    </r>
  </si>
  <si>
    <t>OFICIOS 2022 ASIGNACIÓN, AUTORIZACIÓN Y CANCELACIÓN\20704000L-APAD-1184-22.pdf</t>
  </si>
  <si>
    <t>OFICIOS 2022 ASIGNACIÓN, AUTORIZACIÓN Y CANCELACIÓN\20704000L-APAD-1186-22.pdf</t>
  </si>
  <si>
    <t>OFICIOS 2022 ASIGNACIÓN, AUTORIZACIÓN Y CANCELACIÓN\20704000L-APAD-0434-22.pdf
OFICIOS 2022 ASIGNACIÓN, AUTORIZACIÓN Y CANCELACIÓN\20704000L-AMPAD-1154-22.pdf</t>
  </si>
  <si>
    <t>OFICIOS 2022 ASIGNACIÓN, AUTORIZACIÓN Y CANCELACIÓN\20704000L-APAD-0419-22.pdf
OFICIOS 2022 ASIGNACIÓN, AUTORIZACIÓN Y CANCELACIÓN\20704000L-AMPAD-1154-22.pdf</t>
  </si>
  <si>
    <t>OFICIOS 2022 ASIGNACIÓN, AUTORIZACIÓN Y CANCELACIÓN\20704000L-APAD-0443-22.pdf
OFICIOS 2022 ASIGNACIÓN, AUTORIZACIÓN Y CANCELACIÓN\20704000L-AMPAD-1154-22.pdf</t>
  </si>
  <si>
    <t>OFICIOS 2022 ASIGNACIÓN, AUTORIZACIÓN Y CANCELACIÓN\20704000L-APAD-0434-22.pdf
OFICIOS 2022 ASIGNACIÓN, AUTORIZACIÓN Y CANCELACIÓN\20704000L-AMPAD-1154-22.pdf</t>
  </si>
  <si>
    <t>OFICIOS 2022 ASIGNACIÓN, AUTORIZACIÓN Y CANCELACIÓN\20704000L-APAD-0756-22.pdf
OFICIOS 2022 ASIGNACIÓN, AUTORIZACIÓN Y CANCELACIÓN\20704000L-AMPAD-1154-22.pdf</t>
  </si>
  <si>
    <t>1ER
 16/12/2022
16/03/2023</t>
  </si>
  <si>
    <t>1ER
16/12/2022
31/03/2023</t>
  </si>
  <si>
    <r>
      <t xml:space="preserve">* ZONA RURAL
* PRORROGA AL 31 DE MARZO DE 2023
</t>
    </r>
    <r>
      <rPr>
        <b/>
        <sz val="12"/>
        <color rgb="FF0000FF"/>
        <rFont val="Arial"/>
        <family val="2"/>
      </rPr>
      <t xml:space="preserve">*ANTICIPO PAGADO
* 1ERA SUSPENSIÓN FORMALIZADA
* 1ER CONVENIO FORMALIZADO
*CONVENIO EN MONTO Y PLAZO FORMALIZADO
</t>
    </r>
    <r>
      <rPr>
        <b/>
        <sz val="12"/>
        <color rgb="FFFF0000"/>
        <rFont val="Arial"/>
        <family val="2"/>
      </rPr>
      <t>(2 MDP)</t>
    </r>
  </si>
  <si>
    <t>*RENUNCIAN AL ANTICIPO
* CONVENIO MOFICATORIO AL CONTRATO FOMALIZADO</t>
  </si>
  <si>
    <t>1ER
06/12/2022
30/03/2023</t>
  </si>
  <si>
    <t>1ER
16/12/2022
15/03/2023</t>
  </si>
  <si>
    <r>
      <t xml:space="preserve">* ZONA URBANA
</t>
    </r>
    <r>
      <rPr>
        <b/>
        <sz val="12"/>
        <color rgb="FF0000FF"/>
        <rFont val="Arial"/>
        <family val="2"/>
      </rPr>
      <t>* ANTICIPO PAGADO
* 1ERA Y 2DA ACTA DE SUSPENSIÓN FORMALIZADA 
* ACTA DE TERMINANCIÓN ANTICIPADA FORMALIZADA
* CONVENIO CON ACUSE POR DGIG</t>
    </r>
  </si>
  <si>
    <t xml:space="preserve">1ER
17/09/2022
16/11/2022
</t>
  </si>
  <si>
    <t xml:space="preserve">* ANTICIPO PAGADO
1ERA SUSPENSIÓN FORMALIZADA
* ACTA DE TERMINACIÓN ANTICIPA FORMALIZACIÓN
Economía de 4.8mdp
</t>
  </si>
  <si>
    <t>1 AJUSTE DE COSTOS DIRECTOS 
CONV. ADIC</t>
  </si>
  <si>
    <t>2 AJUSTE DE COSTOS DIRECTOS 
CONV. ADIC</t>
  </si>
  <si>
    <t>3 AJUSTE DE COSTOS DIRECTOS 
CONV. ADIC</t>
  </si>
  <si>
    <t>4 AJUSTE DE COSTOS DIRECTOS 
CONV. ADIC</t>
  </si>
  <si>
    <t>1ER
16/12/2022
17/02/2023</t>
  </si>
  <si>
    <r>
      <t xml:space="preserve">* ZONA RURAL
* PRORROGA AL 31 DE MARZO DE 2023
</t>
    </r>
    <r>
      <rPr>
        <b/>
        <sz val="12"/>
        <color rgb="FF0000FF"/>
        <rFont val="Arial"/>
        <family val="2"/>
      </rPr>
      <t>* SIN ANTICIPO
* CONVENIO ADICIONAL DE PLAZO FORMALIZADO</t>
    </r>
  </si>
  <si>
    <t>1 CONVENIO 
ADICIONAL</t>
  </si>
  <si>
    <t xml:space="preserve">CONSTRUCTORA MOGUEL MEZA, S.A. DE C.V. </t>
  </si>
  <si>
    <t xml:space="preserve">URBANA
1ER MODIFICATORIO 
* ANTICIPO PAGADO
</t>
  </si>
  <si>
    <t xml:space="preserve">RURAL
1ER MODIFICATORIO 
* CON ANTICIPO
</t>
  </si>
  <si>
    <t xml:space="preserve">URBANA
1ER MODIFICATORIO 
* SIN ANTICIPO
</t>
  </si>
  <si>
    <t>1ER
03//10/2022
28/11/2022
2DA
29/11/2022
09/12/2022
3ERA
09/12/2022
16/01/2023</t>
  </si>
  <si>
    <r>
      <t xml:space="preserve">* ZONA URBANA
* PRORROGA AL 31 DE MARZO DE 2023
</t>
    </r>
    <r>
      <rPr>
        <b/>
        <sz val="12"/>
        <color rgb="FF0000FF"/>
        <rFont val="Arial"/>
        <family val="2"/>
      </rPr>
      <t xml:space="preserve">
* SIN ANTICIPO
* 1ER, 2DA Y 3ERA ACTA DE SUSPENSIÓN FORMALIZADA
</t>
    </r>
    <r>
      <rPr>
        <b/>
        <sz val="12"/>
        <color rgb="FFFF0000"/>
        <rFont val="Arial"/>
        <family val="2"/>
      </rPr>
      <t xml:space="preserve">
</t>
    </r>
    <r>
      <rPr>
        <b/>
        <sz val="12"/>
        <color rgb="FF0000FF"/>
        <rFont val="Arial"/>
        <family val="2"/>
      </rPr>
      <t xml:space="preserve">* ACTA DE TERMINANCIÓN ANTICIPADA FORMALIZADA
</t>
    </r>
  </si>
  <si>
    <t>1ER
16/09/2022
19/12/2022</t>
  </si>
  <si>
    <r>
      <t>* ZONA RURAL
* PRORROGA AL 31 DE MARZO DE 2023</t>
    </r>
    <r>
      <rPr>
        <b/>
        <sz val="12"/>
        <color rgb="FF0000FF"/>
        <rFont val="Arial"/>
        <family val="2"/>
      </rPr>
      <t xml:space="preserve">
*ANTICIPO PAGADO
* ACTA DE SUSPENSIÓN FORMALIZADA
* CONVENIO ADICIONAL DE PLAZO FORMALIZADO
</t>
    </r>
  </si>
  <si>
    <t>1ER
16/12/2022
13/02/2023</t>
  </si>
  <si>
    <r>
      <t xml:space="preserve">* ZONA RURAL
* PRORROGA AL 31 DE MARZO DE 2023
</t>
    </r>
    <r>
      <rPr>
        <b/>
        <sz val="12"/>
        <color rgb="FF0000FF"/>
        <rFont val="Arial"/>
        <family val="2"/>
      </rPr>
      <t>* SIN ANTICIPO
* CONVENIO ADICIONAL DE PLAZO FORMALIZADO</t>
    </r>
  </si>
  <si>
    <r>
      <t xml:space="preserve">* ZONA URBANA
* PRORROGA AL 31 DE MARZO DE 2023
</t>
    </r>
    <r>
      <rPr>
        <b/>
        <sz val="12"/>
        <color rgb="FF0000FF"/>
        <rFont val="Arial"/>
        <family val="2"/>
      </rPr>
      <t xml:space="preserve">
* ANTICIPO PAGADO
* CONVENIO ADICIONAL DE PLAZO FORMALIZADO</t>
    </r>
  </si>
  <si>
    <r>
      <t>* ZONA URBANA
* PRORROGA AL 31 DE MARZO DE 2023</t>
    </r>
    <r>
      <rPr>
        <b/>
        <sz val="12"/>
        <color rgb="FF0000FF"/>
        <rFont val="Arial"/>
        <family val="2"/>
      </rPr>
      <t xml:space="preserve">
* SIN ANTICIPO
* CONVENIO ADICIONAL DE PLAZO AL CONTRATO FORMALIZADO</t>
    </r>
  </si>
  <si>
    <t>1ERA
01/11/2022
28/02/2023</t>
  </si>
  <si>
    <t>* ANTICIPO PAGADO
* ACTA DE SUSPENSIÓN FORMALIZADA</t>
  </si>
  <si>
    <t>1ERA
08/02/2023
01/04/2023</t>
  </si>
  <si>
    <t>RURAL
1ER MODIFICATORIO 
* SIN ANTICIPO
* ACTA DE SUSPENSIÓN FORMALIZADA</t>
  </si>
  <si>
    <t>OFICIOS 2022 ASIGNACIÓN, AUTORIZACIÓN Y CANCELACIÓN\20704000L-APAD-FISE-1216-22.pdf
$197,273.92</t>
  </si>
  <si>
    <t>OFICIOS 2022 ASIGNACIÓN, AUTORIZACIÓN Y CANCELACIÓN\20704000L-APAD-FISE-1216-22.pdf
$ 617,817.72</t>
  </si>
  <si>
    <t>OFICIOS 2022 ASIGNACIÓN, AUTORIZACIÓN Y CANCELACIÓN\20704000L-APAD-FISE-1216-22.pdf
$ 147,329.62</t>
  </si>
  <si>
    <t>NO. OFICIO CANCELACIÓN FISE</t>
  </si>
  <si>
    <t>OFICIOS 2022 ASIGNACIÓN, AUTORIZACIÓN Y CANCELACIÓN\20704000L-APAD-FISE-1216-22.pdf
$ 5,677,634.06</t>
  </si>
  <si>
    <t>OFICIOS 2022 ASIGNACIÓN, AUTORIZACIÓN Y CANCELACIÓN\20704000L-APAD-FISE-1216-22.pdf
$ 40,806.25</t>
  </si>
  <si>
    <t>OFICIOS 2022 ASIGNACIÓN, AUTORIZACIÓN Y CANCELACIÓN\20704000L-APAD-FISE-1216-22.pdf
$ 263,578.10</t>
  </si>
  <si>
    <t>OFICIOS 2022 ASIGNACIÓN, AUTORIZACIÓN Y CANCELACIÓN\20704000L-APAD-FISE-1216-22.pdf
$ 3,727.53</t>
  </si>
  <si>
    <t>OFICIOS 2022 ASIGNACIÓN, AUTORIZACIÓN Y CANCELACIÓN\20704000L-APAD-FISE-1216-22.pdf
$ 1,514.34</t>
  </si>
  <si>
    <t xml:space="preserve">OFICIOS 2022 ASIGNACIÓN, AUTORIZACIÓN Y CANCELACIÓN\20704000L-APAD-FISE-1216-22.pdf
$ 41, 389.22
</t>
  </si>
  <si>
    <t>OFICIOS 2022 ASIGNACIÓN, AUTORIZACIÓN Y CANCELACIÓN\20704000L-APAD-FISE-1216-22.pdf
$ 1,012,356.44</t>
  </si>
  <si>
    <t>OFICIOS 2022 ASIGNACIÓN, AUTORIZACIÓN Y CANCELACIÓN\20704000L-APAD-FISE-1216-22.pdf
$ 7,274,634.55</t>
  </si>
  <si>
    <t>OFICIOS 2022 ASIGNACIÓN, AUTORIZACIÓN Y CANCELACIÓN\20704000L-APAD-FISE-1216-22.pdf
$ 4,600,185.95</t>
  </si>
  <si>
    <t>OFICIOS 2022 ASIGNACIÓN, AUTORIZACIÓN Y CANCELACIÓN\20704000L-APAD-FISE-1216-22.pdf
$247,164.64</t>
  </si>
  <si>
    <t>OFICIOS 2022 ASIGNACIÓN, AUTORIZACIÓN Y CANCELACIÓN\20704000L-APAD-FISE-1216-22.pdf
$ 2,827.25</t>
  </si>
  <si>
    <t>OFICIOS 2022 ASIGNACIÓN, AUTORIZACIÓN Y CANCELACIÓN\20704000L-APAD-FISE-1216-22.pdf
$ 97.83</t>
  </si>
  <si>
    <t>OFICIOS 2022 ASIGNACIÓN, AUTORIZACIÓN Y CANCELACIÓN\20704000L-APAD-FISE-1216-22.pdf
$ 304,541.27</t>
  </si>
  <si>
    <t>OFICIOS 2022 ASIGNACIÓN, AUTORIZACIÓN Y CANCELACIÓN\20704000L-APAD-FISE-1216-22.pdf
$ 980,464.20</t>
  </si>
  <si>
    <t>OFICIOS 2022 ASIGNACIÓN, AUTORIZACIÓN Y CANCELACIÓN\20704000L-APAD-FISE-1216-22.pdf
$ 32,983.87</t>
  </si>
  <si>
    <t>1ERA
28/11/2022
31/12/2022
2DA
01/01/2023
15/01/2023</t>
  </si>
  <si>
    <t xml:space="preserve">1ERA
29/11/2022
08/01/2023
2DA
01/03/2023
02/04/2023
</t>
  </si>
  <si>
    <t>1ER CA
17/03/2023</t>
  </si>
  <si>
    <t>FINAL
16/02/2023</t>
  </si>
  <si>
    <t>OFICIOS 2023 ASIGNACIÓN, AUTORIZACIÓN Y CANCELACIÓN\20704000L-CAPAD-1221-211.pdf</t>
  </si>
  <si>
    <t>FINAL
03/04/2023</t>
  </si>
  <si>
    <r>
      <t xml:space="preserve">* ZONA RURAL
</t>
    </r>
    <r>
      <rPr>
        <b/>
        <sz val="12"/>
        <color rgb="FF0000FF"/>
        <rFont val="Arial"/>
        <family val="2"/>
      </rPr>
      <t xml:space="preserve">*ANTICIPO PAGADO
* EST. 5 FINAL 
</t>
    </r>
  </si>
  <si>
    <t>* ANTICIPO PAGADO
* 1ER  CONVENIO DE PLAZO FORMALIZADA
* EST. 7 FINAL</t>
  </si>
  <si>
    <t>FINAL
17/03/2023</t>
  </si>
  <si>
    <t>* ANTICIPO PAGADO
* CONVENIO MOFICATORIO DE PLAZO FORMALIZADO.
* EST. 6 FINAL</t>
  </si>
  <si>
    <t>2DO CONVENIO ADICIONAL
24/03/2023</t>
  </si>
  <si>
    <t xml:space="preserve"> 4 FINAL DEL CONTRATO
03/02/2023</t>
  </si>
  <si>
    <t xml:space="preserve">1 CA
14/12/2022
</t>
  </si>
  <si>
    <t>2 FINAL CA
08/02/2023</t>
  </si>
  <si>
    <t>FINAL
08/02/2023</t>
  </si>
  <si>
    <t xml:space="preserve">*ANTICIPO PAGADO
* EST. 4 FINAL </t>
  </si>
  <si>
    <r>
      <t xml:space="preserve">* ZONA URBANA
</t>
    </r>
    <r>
      <rPr>
        <b/>
        <sz val="12"/>
        <color rgb="FF0000FF"/>
        <rFont val="Arial"/>
        <family val="2"/>
      </rPr>
      <t xml:space="preserve">
* SIN ANTICIPO
* 1ERA SUSPENSIÓN FORMALIZADA
* ACTA DE TERMINACIÓN ANTICIPADA FORMALIZADA
</t>
    </r>
    <r>
      <rPr>
        <b/>
        <sz val="12"/>
        <color rgb="FFFF0000"/>
        <rFont val="Arial"/>
        <family val="2"/>
      </rPr>
      <t>* EST. 4 FINAL</t>
    </r>
  </si>
  <si>
    <r>
      <t xml:space="preserve">* ZONA RURAL
</t>
    </r>
    <r>
      <rPr>
        <b/>
        <sz val="12"/>
        <color rgb="FF0000FF"/>
        <rFont val="Arial"/>
        <family val="2"/>
      </rPr>
      <t xml:space="preserve">* SIN ANTICIPO
* EST. 5 FINAL
</t>
    </r>
  </si>
  <si>
    <r>
      <t xml:space="preserve">* ZONA RURAL
</t>
    </r>
    <r>
      <rPr>
        <b/>
        <sz val="12"/>
        <color rgb="FF0000FF"/>
        <rFont val="Arial"/>
        <family val="2"/>
      </rPr>
      <t xml:space="preserve">*ANTICIPO PAGADO
</t>
    </r>
    <r>
      <rPr>
        <b/>
        <sz val="12"/>
        <color rgb="FFFF0000"/>
        <rFont val="Arial"/>
        <family val="2"/>
      </rPr>
      <t>*EST 6 FINAL</t>
    </r>
  </si>
  <si>
    <t>FINAL
22/12/2022</t>
  </si>
  <si>
    <t>* ANTICIPO PAGADO
* EST. 2 FINAL</t>
  </si>
  <si>
    <t>FINAL
04/04/2023</t>
  </si>
  <si>
    <t>* CON ANTICIPO
* EST. 3 FINAL</t>
  </si>
  <si>
    <t>* ANTICIPO PAGADO
* EST. 3 FINAL</t>
  </si>
  <si>
    <t>* SIN ANTICIPO
* EST. 4 FINAL</t>
  </si>
  <si>
    <t>* SIN ANTICIPO
* CONVENIO ADICIONAL DE PLAZO FORMALIZADO
* EST. 5 FINAL</t>
  </si>
  <si>
    <t xml:space="preserve">1ERA DEL CA
24/03/2023
</t>
  </si>
  <si>
    <t>1ERA DEL CA
24/03/2023</t>
  </si>
  <si>
    <t>2DA DEL CA
24/03/2023</t>
  </si>
  <si>
    <r>
      <t xml:space="preserve">* ZONA RURAL
</t>
    </r>
    <r>
      <rPr>
        <b/>
        <sz val="12"/>
        <color rgb="FF0000FF"/>
        <rFont val="Arial"/>
        <family val="2"/>
      </rPr>
      <t xml:space="preserve">*ANTICIPO PAGADO
</t>
    </r>
    <r>
      <rPr>
        <b/>
        <sz val="12"/>
        <color rgb="FFFF0000"/>
        <rFont val="Arial"/>
        <family val="2"/>
      </rPr>
      <t>* EST. 4 FINAL</t>
    </r>
  </si>
  <si>
    <r>
      <t xml:space="preserve">* ZONA URBANA
* PRORROGA AL 31 DE MARZO DE 2023
</t>
    </r>
    <r>
      <rPr>
        <b/>
        <sz val="12"/>
        <color rgb="FF0000FF"/>
        <rFont val="Arial"/>
        <family val="2"/>
      </rPr>
      <t xml:space="preserve">* SIN ANTICIPO
* CONVENIO ADICIONAL DE PLAZO FORMALIZADO
* EST 4 FINAL </t>
    </r>
  </si>
  <si>
    <t>FINAL 
21/03/2023</t>
  </si>
  <si>
    <r>
      <t xml:space="preserve">* ZONA RURAL
</t>
    </r>
    <r>
      <rPr>
        <b/>
        <sz val="12"/>
        <color rgb="FF0000FF"/>
        <rFont val="Arial"/>
        <family val="2"/>
      </rPr>
      <t xml:space="preserve">* SIN ANTICIPO
</t>
    </r>
    <r>
      <rPr>
        <b/>
        <sz val="12"/>
        <color rgb="FFFF0000"/>
        <rFont val="Arial"/>
        <family val="2"/>
      </rPr>
      <t xml:space="preserve">* EST 3 FINAL </t>
    </r>
  </si>
  <si>
    <t>FINAL
01/12/2022</t>
  </si>
  <si>
    <t>FINAL 
23/03/2023</t>
  </si>
  <si>
    <r>
      <t xml:space="preserve">* ZONA RURAL
* PRORROGA AL 31 DE MARZO DE 2023
</t>
    </r>
    <r>
      <rPr>
        <b/>
        <sz val="12"/>
        <color rgb="FF0000FF"/>
        <rFont val="Arial"/>
        <family val="2"/>
      </rPr>
      <t xml:space="preserve">* SIN ANTICIPO
*CONVENIO ADICIONAL DE PLAZO FORMALIZADO
* EST. 4 FINAL
</t>
    </r>
  </si>
  <si>
    <t>FINAL
22/03/2023</t>
  </si>
  <si>
    <r>
      <rPr>
        <b/>
        <sz val="12"/>
        <color rgb="FFFF0000"/>
        <rFont val="Arial"/>
        <family val="2"/>
      </rPr>
      <t xml:space="preserve">* ZONA URBANA
* PRORROGA AL 31 DE MARZO DE 2023
</t>
    </r>
    <r>
      <rPr>
        <b/>
        <sz val="12"/>
        <color rgb="FF0000FF"/>
        <rFont val="Arial"/>
        <family val="2"/>
      </rPr>
      <t xml:space="preserve">
* SIN ANTICIPO</t>
    </r>
    <r>
      <rPr>
        <b/>
        <sz val="12"/>
        <color rgb="FFFF0000"/>
        <rFont val="Arial"/>
        <family val="2"/>
      </rPr>
      <t xml:space="preserve">
</t>
    </r>
    <r>
      <rPr>
        <b/>
        <sz val="12"/>
        <color rgb="FF3333FF"/>
        <rFont val="Arial"/>
        <family val="2"/>
      </rPr>
      <t xml:space="preserve">
* 1ERA Y 2DA ACTA DE SUSPENSIÓN FORMALIZADA
</t>
    </r>
    <r>
      <rPr>
        <sz val="12"/>
        <color rgb="FF3333FF"/>
        <rFont val="Arial"/>
        <family val="2"/>
      </rPr>
      <t xml:space="preserve">
*</t>
    </r>
    <r>
      <rPr>
        <b/>
        <sz val="12"/>
        <color rgb="FF3333FF"/>
        <rFont val="Arial"/>
        <family val="2"/>
      </rPr>
      <t xml:space="preserve">CONVENIO EN REDUCCIÓN DE PLAZO FORMALIZADO
</t>
    </r>
    <r>
      <rPr>
        <sz val="12"/>
        <color rgb="FF3333FF"/>
        <rFont val="Arial"/>
        <family val="2"/>
      </rPr>
      <t xml:space="preserve">
</t>
    </r>
    <r>
      <rPr>
        <sz val="12"/>
        <color rgb="FFFF0000"/>
        <rFont val="Arial"/>
        <family val="2"/>
      </rPr>
      <t>* EST. 3 FINAL</t>
    </r>
  </si>
  <si>
    <t xml:space="preserve">
* ANTICIPO PAGADO
* EST. 3 FINAL </t>
  </si>
  <si>
    <t>FINAL
21/02/2023</t>
  </si>
  <si>
    <t>* SIN ANTICIPO
* CON OFICIO DE ASIG Y AUTOR 20704000L-APAD-OF-0940-22 SE REASIGNAN (CANCELAN) $ 50000000 (ACUERDO CT.  E. 89.VI, SESIÓN NO. 89 EXTRAORDINARIA</t>
  </si>
  <si>
    <t xml:space="preserve">RURAL
1ER MODIFICATORIO 
* SIN ANTICIPO
</t>
  </si>
  <si>
    <t>* ANTICIPO PAGADO
* EST. 4 FINAL</t>
  </si>
  <si>
    <t>FINAL 
14/02/2023</t>
  </si>
  <si>
    <r>
      <t xml:space="preserve">* ZONA URBANA
</t>
    </r>
    <r>
      <rPr>
        <b/>
        <sz val="12"/>
        <color rgb="FF0000FF"/>
        <rFont val="Arial"/>
        <family val="2"/>
      </rPr>
      <t xml:space="preserve">* SIN ANTICIPO
* 1ERA Y 2DA ACTA DE SUSPENSIÓN FORMALIZADA
* TERMINACIÓN ANTICIPADA FORMALIZADA
* CONVENIO MODIFICATORIO DE PLAZO AL CONTRATO FORMALIZADA
* EST. 5 FINAL
</t>
    </r>
  </si>
  <si>
    <t>CAMBIO DE SUPERINTENDENTE</t>
  </si>
  <si>
    <t>1ER
01/03/2023
15/05/2023</t>
  </si>
  <si>
    <t>1ER
09/01/2023 24/01/2023
2DO
15/03/2023
26/03/2023</t>
  </si>
  <si>
    <r>
      <t xml:space="preserve">* ZONA URBANA
* PRORROGA AL 31 DE MARZO DE 2023
</t>
    </r>
    <r>
      <rPr>
        <b/>
        <sz val="12"/>
        <color rgb="FF0000FF"/>
        <rFont val="Arial"/>
        <family val="2"/>
      </rPr>
      <t xml:space="preserve">* SIN ANTICIPO
* 1ERA Y 2DA SUSPENSIÓN FORMALIZADA
* CONVENIO MODIFICATORIO DE PLAZO ALCONTRATO FORMALIZADA
</t>
    </r>
    <r>
      <rPr>
        <b/>
        <sz val="12"/>
        <color rgb="FFFF0000"/>
        <rFont val="Arial"/>
        <family val="2"/>
      </rPr>
      <t xml:space="preserve">
2DO CONV DE PLAZO EN REVISIÓN POR DGIG</t>
    </r>
  </si>
  <si>
    <t>* CON ANTICIPO
*TERMINACIÓN ANTICIPADA FORMALIDA
 27/03/2023</t>
  </si>
  <si>
    <t>2DO CA</t>
  </si>
  <si>
    <t>EQUIPAMIENTO ELECTROMECÁNICO DE POZO PROFUNDO Y LÍNEA DE CONDUCCIÓN EN EL EJIDO DE TEQUISISTLAN, MUNICIPIO DE TEZOYUCA, ETAPA 1 DE 2 (OBRA NUEVA).</t>
  </si>
  <si>
    <t>CONSTRUCCIÓN DE LA RED DE ALCANTARILLADO SANITARIO PARA LA COMUNIDAD DE NEXQUIPAYAC, MUNICIPIO DE ATENCO (OBRA NUEVA).</t>
  </si>
  <si>
    <t xml:space="preserve">* ANTICIPO PAGADO
* SUSPENSIÓN FORMALIZADA
* ACTA DE TERMINACIÓN ANTICIPADA FORMALIZADA
</t>
  </si>
  <si>
    <t>17/02/2023
(TOTAL)</t>
  </si>
  <si>
    <t>1ER
05/12/2022
31/12/2022</t>
  </si>
  <si>
    <t xml:space="preserve">1ERA
12/1/2/2022
08/01/2023
2DA
16/01/2023
15/02/2023
3ERA
25/02/2023
02/04/2023
</t>
  </si>
  <si>
    <t>1ERA
08/12/2022
15/03/2023</t>
  </si>
  <si>
    <t>1ERA
16/03/2023
21/03/2023</t>
  </si>
  <si>
    <t>1ERA
16/12/2022
15/03/2023</t>
  </si>
  <si>
    <t xml:space="preserve">1ER
04/11/2022
28/11/2022
2DO
16/01/2023
31/03/2023
</t>
  </si>
  <si>
    <t>1ERA
22/07/2022
23/09/2022
2DO
23/09/2022
08/12/2022</t>
  </si>
  <si>
    <t>* SIN ANTICIPO 
*ACTA DE TERMINACIÓN ANTICIPADA FORMALIZADA</t>
  </si>
  <si>
    <r>
      <rPr>
        <b/>
        <sz val="12"/>
        <color rgb="FFFF0000"/>
        <rFont val="Arial"/>
        <family val="2"/>
      </rPr>
      <t>REFRENDO</t>
    </r>
    <r>
      <rPr>
        <b/>
        <sz val="12"/>
        <color rgb="FF0000FF"/>
        <rFont val="Arial"/>
        <family val="2"/>
      </rPr>
      <t xml:space="preserve">
*ANTICIPO PAGADO
</t>
    </r>
    <r>
      <rPr>
        <b/>
        <sz val="12"/>
        <color rgb="FFFF0000"/>
        <rFont val="Arial"/>
        <family val="2"/>
      </rPr>
      <t>* FALTA OFC. DE ASIG. A NIVEL PAD REF.</t>
    </r>
    <r>
      <rPr>
        <b/>
        <sz val="12"/>
        <color rgb="FF0000FF"/>
        <rFont val="Arial"/>
        <family val="2"/>
      </rPr>
      <t xml:space="preserve">
* 1ERA ACTA DE SUSPENSIÓN FORMALIZADA
* CONV MODIF DE REDUCCIÓN DE PLAZO FORMALIZADO
* ACTA DE REDUCCIÓN DE METAS FORMALIZADA (PARA EL EQUIPAMIENTO)</t>
    </r>
  </si>
  <si>
    <t>OFICIOS 2022 ASIGNACIÓN, AUTORIZACIÓN Y CANCELACIÓN\20704000L-APAD-0690-22.pdf
20704000L-0437-2022
20704000L-APAD-OF-0004-23</t>
  </si>
  <si>
    <t>OFICIOS 2022 ASIGNACIÓN, AUTORIZACIÓN Y CANCELACIÓN\20704000L-APAD-0690-22.pdf
20704000L-APAD-OF-0004-23</t>
  </si>
  <si>
    <t>OFICIOS 2022 ASIGNACIÓN, AUTORIZACIÓN Y CANCELACIÓN\20704000L-APAD-0690-22.pdf
20704000L-0437-2022
20704000L-APAD-OF-0004-23</t>
  </si>
  <si>
    <t>OFICIOS 2022 ASIGNACIÓN, AUTORIZACIÓN Y CANCELACIÓN\20704000L-CAPAD-1170-22.pdf</t>
  </si>
  <si>
    <t>01/03/2023
(TOTAL)</t>
  </si>
  <si>
    <t>CA UNICA</t>
  </si>
  <si>
    <t>11/01/2023
(TOTAL)</t>
  </si>
  <si>
    <t>* ANTICIPO PAGADO
*Acta de terminación anticipada formalizada
* EST. 4 FINAL</t>
  </si>
  <si>
    <t>FINAL 
07/12/2022</t>
  </si>
  <si>
    <r>
      <t xml:space="preserve">* ZONA URBANA
</t>
    </r>
    <r>
      <rPr>
        <b/>
        <sz val="12"/>
        <color rgb="FF0000FF"/>
        <rFont val="Arial"/>
        <family val="2"/>
      </rPr>
      <t xml:space="preserve">* ANTICIPO PAGADO
</t>
    </r>
    <r>
      <rPr>
        <b/>
        <sz val="12"/>
        <color rgb="FFFF0000"/>
        <rFont val="Arial"/>
        <family val="2"/>
      </rPr>
      <t>EST. 5 FINAL</t>
    </r>
  </si>
  <si>
    <r>
      <t xml:space="preserve">* ZONA URBANA
* PRORROGA AL 31 DE MARZO DE 2023
</t>
    </r>
    <r>
      <rPr>
        <b/>
        <sz val="12"/>
        <color rgb="FF0000FF"/>
        <rFont val="Arial"/>
        <family val="2"/>
      </rPr>
      <t xml:space="preserve">* ANTICIPO PAGADO
* 1ERA  Y 2DA ACTA DE SUSPENSIÓN FORMALIZADA
* CONVENIO MODIFICATORIO DE AMPLIACIÓN DE PLAZO FORMALIZADO Y CONV ADIC DE PLAZO FORMALIZADO
</t>
    </r>
  </si>
  <si>
    <t xml:space="preserve">FINAL 
</t>
  </si>
  <si>
    <t xml:space="preserve">* ANTICIPO PAGADO
* EST. 5  FINAL </t>
  </si>
  <si>
    <t xml:space="preserve">* ANTICIPO PAGADO
* EST. 6  FINAL </t>
  </si>
  <si>
    <t xml:space="preserve">* ANTICIPO PAGADO
Debido a que el Área de Proyectos NO autorizó la construcción de un tanque de 100m3, se hará una reducción de metas de aproximadamente 7,000 ml de la red de distribución, por lo que el avance físico total es del 80%.
*EST. 5 FINAL </t>
  </si>
  <si>
    <t>final</t>
  </si>
  <si>
    <t>3 FINAL CA</t>
  </si>
  <si>
    <t xml:space="preserve"> EST 15 FINAL DEL CONTRATO</t>
  </si>
  <si>
    <t>* ANTICIPO PAGADO
* ACTA DE SUSPENSIÓN FORMALIZADA
* ACTA DE TERMINACIÓN ANTICIPADA FORMALIZADA
* EST. 3 FINAL</t>
  </si>
  <si>
    <t>1ER
16/12/2022
31/05/2023</t>
  </si>
  <si>
    <t>1ERA
13/12/2022
31/03/2023</t>
  </si>
  <si>
    <t>FINIQUITO</t>
  </si>
  <si>
    <t>3 CA</t>
  </si>
  <si>
    <t xml:space="preserve">final </t>
  </si>
  <si>
    <t>UNO CA</t>
  </si>
  <si>
    <t>UNICA CA</t>
  </si>
  <si>
    <t>FINAL
27/04/2023</t>
  </si>
  <si>
    <t>08/05/2023
(TOTAL)</t>
  </si>
  <si>
    <t>09/04/2023
(TOTAL)</t>
  </si>
  <si>
    <t>22/05/2023
(TOTAL)</t>
  </si>
  <si>
    <t>08/03/2023
(TOTAL)</t>
  </si>
  <si>
    <t>19/04/2023
(TOTAL)</t>
  </si>
  <si>
    <t>28/04/2023
(TOTAL)</t>
  </si>
  <si>
    <t>2DA DEL CA</t>
  </si>
  <si>
    <t>9 EST FINAL DEL CONTRATO</t>
  </si>
  <si>
    <t>1ER
09/01/2023
27/01/2023
2DO
10/02/2023
01/03/2023</t>
  </si>
  <si>
    <t>121830
122918</t>
  </si>
  <si>
    <t xml:space="preserve">OFICIOS 2022 ASIGNACIÓN, AUTORIZACIÓN Y CANCELACIÓN\20704000L-APAD-OF-0367-22.pdf
OFICIOS 2023 ASIGNACIÓN, AUTORIZACIÓN Y CANCELACIÓN\20704000L-APAD-FID-0083-23.pdf
</t>
  </si>
  <si>
    <t xml:space="preserve">OFICIOS 2022 ASIGNACIÓN, AUTORIZACIÓN Y CANCELACIÓN\20704000L-APAD-OF-0367-22.pdf
OFICIOS 2023 ASIGNACIÓN, AUTORIZACIÓN Y CANCELACIÓN\20704000L-APAD-FID-0083-23.pdf
</t>
  </si>
  <si>
    <t>$ 616,869.59
CAMBIO SUPERINTENDENTE</t>
  </si>
  <si>
    <r>
      <t xml:space="preserve">* SIN ANTICIPO
* CONVENIO ADICIONAL EN MONTO Y PLAZO FORMALIZADO
</t>
    </r>
    <r>
      <rPr>
        <b/>
        <sz val="12"/>
        <color rgb="FFFF0000"/>
        <rFont val="Arial"/>
        <family val="2"/>
      </rPr>
      <t>* CON EL NÚMERO DE CONTROL 122918 SE ASIGNAN 50 MDP EN EL 2023</t>
    </r>
  </si>
  <si>
    <t>1ER
31/03/2023
30/05/2023</t>
  </si>
  <si>
    <t>1ER
31/03/2023
21/04/2023</t>
  </si>
  <si>
    <t>* SIN ANTICIPO
* CONVENIO ADICIONAL EN MONTO Y PLAZO AL CONTRATO FORMALIZADO.</t>
  </si>
  <si>
    <t>1ER
31/03/2023
10/05/2023</t>
  </si>
  <si>
    <t>* SIN ANTICIPO
*CONV ADICIONAL EN MONTO Y PLAZO FORMALIZADO</t>
  </si>
  <si>
    <t>1ER
31/03/2023
26/06/2023</t>
  </si>
  <si>
    <t>* SIN ANTICIPO
* 1ER CONV ADICIONAL DE PLAZO FORMALIZADO</t>
  </si>
  <si>
    <t>* SIN ANTICIPO
*CONV ADICIONAL EN PLAZO FORMALIZADO</t>
  </si>
  <si>
    <t>1ER
09/03/2023
15/05/2023</t>
  </si>
  <si>
    <t xml:space="preserve">* SIN ANTICIPO
1ERA, 2DA Y 3ERA SUSPENSIÓN FORMALIZADA
1ER Y 2DO CONV EN PLAZO FORMALIZADA
</t>
  </si>
  <si>
    <t>RESCISIÓN DE CONTRATO</t>
  </si>
  <si>
    <t>12/04/2023
(TOTAL)</t>
  </si>
  <si>
    <t>29/03/2023
(TOTAL)</t>
  </si>
  <si>
    <t>16/06/2023
(TOTAL)</t>
  </si>
  <si>
    <t>14/06/2023
(TOTAL)</t>
  </si>
  <si>
    <t>05/06/2023
(TOTAL)</t>
  </si>
  <si>
    <t>24/03/2023
(TOTAL)</t>
  </si>
  <si>
    <t>4 CA</t>
  </si>
  <si>
    <t>3 EST CA FINAL</t>
  </si>
  <si>
    <t>* SIN ANTICIPO
1ERA  ACTA SUSP FORMALIZADA
1ER C.A. DE PLAZO FORMALIZADO</t>
  </si>
  <si>
    <t>b</t>
  </si>
  <si>
    <t>2 FINAL CA</t>
  </si>
  <si>
    <t>9 FINAL CONTRATO</t>
  </si>
  <si>
    <t>* SIN ANTICIPO
*CONVENIO ADICIONAL DE PLAZO FORMALIZADO
* CONVENIO EN MONTO FORMALIZADO</t>
  </si>
  <si>
    <r>
      <t xml:space="preserve">* SIN ANTICIPO
</t>
    </r>
    <r>
      <rPr>
        <b/>
        <sz val="12"/>
        <color rgb="FFFF0000"/>
        <rFont val="Arial"/>
        <family val="2"/>
      </rPr>
      <t xml:space="preserve">
*CONVENIO ADICIONAL EN MONTO FORMALIZADO Y PLAZO
*Traspaso de recurso con el oficio 20704000l-TRAPAD-OF-1152-22</t>
    </r>
  </si>
  <si>
    <t>1ER
16/04/2023
15/07/2023</t>
  </si>
  <si>
    <t>1ER
16/04/203
31/07/2023</t>
  </si>
  <si>
    <t>* SIN ANTICIPO
* CONVENIO ADICIONAL EN MONTO Y PLAZO FORMALIZADO</t>
  </si>
  <si>
    <t>CAEM-DGIG-FID-088-22-CP</t>
  </si>
  <si>
    <t>1era
31/03/2023
15/06/2023</t>
  </si>
  <si>
    <t>1ERA
12/11/2022
28/02/2023
2DA
01/03/2023
15/05/2023
3ERA
18/05/2023
31/08/2023</t>
  </si>
  <si>
    <t>3 CONVENIO ADICIONAL FINAL</t>
  </si>
  <si>
    <t xml:space="preserve">2CA </t>
  </si>
  <si>
    <t>3CA</t>
  </si>
  <si>
    <t>4FINAL</t>
  </si>
  <si>
    <t>2DO  CA UNICA</t>
  </si>
  <si>
    <t xml:space="preserve">UNO AJUSTES DE COSTOS </t>
  </si>
  <si>
    <t>4FINIQUITO</t>
  </si>
  <si>
    <t>1era
18/04/2023
03/09/2023
2DA
14/08/2023
30/11/2023</t>
  </si>
  <si>
    <t>* ANTICIPO PAGADO 
* CONTINUA LA INVESTIACIÓN ARQUEOLÓGICA INAH
*1ERA,  2DA Y 3ERA SUSPENSIÓN FORMALIZADA
* 1ER Y 2DO CONVENIO MODIFICATORIO DE PLAZO FORMALIZADO</t>
  </si>
  <si>
    <t>* ANTICIPO PAGADO
* CONVENIO ADICIONAL DE PLAZO FORMALIZADO
* CONVENIO  DE REDUCCIÓN DE MONTO FORMALIZADO</t>
  </si>
  <si>
    <t>6 final CA</t>
  </si>
  <si>
    <t>1ERA
18/11/2022
28/02/2023
2DA
01/03/2023
31/03/2023
3ERA
26/06/2023
20/10/2023</t>
  </si>
  <si>
    <t>* SIN ANTICIPO
* 1ERA, 2DA Y 3ERA SUSPENSIÓN FORMALIZADA</t>
  </si>
  <si>
    <t>1ER 
31/03/2023
29/05/2023
2DO
30/05/2023
28/08/2023</t>
  </si>
  <si>
    <t>* SIN ANTICIPO
* 1ER CONV DE PLAZO FORMALIZADA
* Se hará recorte de metas debido a que en el catálogo de conceptos autorizado no vienen consideradas las tomas domiciliarias.
ESTIMACIÓN 5 FINAL EN REVISIÓN POR DGIG (ENTRO EL DIA 11/09/2023)</t>
  </si>
  <si>
    <r>
      <t xml:space="preserve">* SIN ANTICIPO
</t>
    </r>
    <r>
      <rPr>
        <b/>
        <sz val="12"/>
        <color rgb="FFFF0000"/>
        <rFont val="Arial"/>
        <family val="2"/>
      </rPr>
      <t xml:space="preserve">*Traspaso de recurso con el oficio 20704000l-TRAPAD-OF-1152-22
</t>
    </r>
    <r>
      <rPr>
        <b/>
        <sz val="12"/>
        <color rgb="FF0000FF"/>
        <rFont val="Arial"/>
        <family val="2"/>
      </rPr>
      <t>* 1ER  CONVENIO ADICIONAL DE PLAZO FORMALIZADO
*  CONV ADIC EN MONTO Y PLAZO AL CONTRATO  FORMALIZADO 
ESTIMACIÓN UNICA CA EN REVISIÓN POR DGIG (ENTRO EL DIA 13/09/2023)</t>
    </r>
  </si>
  <si>
    <t>PROCESO DE TERMINACIÓN ANTICIPADA</t>
  </si>
  <si>
    <t>* SIN ANTICIPO
*ACTA DE SUSPENSIÓN FORMALIZADA
* CONVENIO DE PLAZO FORMALIZADO
*OBRA CON PENAS CONVENCIONALES</t>
  </si>
  <si>
    <t>OBRAS ASIGNADAS 2023</t>
  </si>
  <si>
    <t xml:space="preserve">OBRAS CON OFICIO DE ASIGNACIÓN </t>
  </si>
  <si>
    <t>FID</t>
  </si>
  <si>
    <t>PROAGUA</t>
  </si>
  <si>
    <t>NO. OBRAS</t>
  </si>
  <si>
    <t>MONTOS ASIGNADOS</t>
  </si>
  <si>
    <t>OBRAS CONTRATADAS 2023</t>
  </si>
  <si>
    <t>OBRAS EN PROCESO</t>
  </si>
  <si>
    <t>OBRAS CONCLUIDAS</t>
  </si>
  <si>
    <t>PAD</t>
  </si>
  <si>
    <t>FISE</t>
  </si>
  <si>
    <t>PRODDER</t>
  </si>
  <si>
    <t>FIRET</t>
  </si>
  <si>
    <t>MONTOS CONTRATADOS</t>
  </si>
  <si>
    <t>PAD REFRENDO 2021-2022</t>
  </si>
  <si>
    <r>
      <rPr>
        <b/>
        <sz val="12"/>
        <color rgb="FFFF0000"/>
        <rFont val="Arial"/>
        <family val="2"/>
      </rPr>
      <t>REFRENDO</t>
    </r>
    <r>
      <rPr>
        <b/>
        <sz val="12"/>
        <color rgb="FF0000FF"/>
        <rFont val="Arial"/>
        <family val="2"/>
      </rPr>
      <t xml:space="preserve">
* ANTICIPO PAGADO
*1ERA SUSPENSIÓN FORMALIZADA
8 EST Y 1 DEL CONV AD
* CONV MODIF DE REDUCCIÓN DE PLAZO FORMALIZADA</t>
    </r>
  </si>
  <si>
    <r>
      <rPr>
        <b/>
        <sz val="12"/>
        <color rgb="FFFF0000"/>
        <rFont val="Arial"/>
        <family val="2"/>
      </rPr>
      <t>REFRENDO</t>
    </r>
    <r>
      <rPr>
        <b/>
        <sz val="12"/>
        <color rgb="FF0000FF"/>
        <rFont val="Arial"/>
        <family val="2"/>
      </rPr>
      <t xml:space="preserve">
* ANTICIPO PAGADO
*1ERA SUSPENSIÓN FORMALIZADA
5 ESTIMACIONES
* CONV MODIF DE REDUCCIÓN DE PLAZO FORMALIZADA</t>
    </r>
  </si>
  <si>
    <r>
      <rPr>
        <b/>
        <sz val="12"/>
        <color rgb="FFFF0000"/>
        <rFont val="Arial"/>
        <family val="2"/>
      </rPr>
      <t>REFRENDO</t>
    </r>
    <r>
      <rPr>
        <b/>
        <sz val="12"/>
        <color rgb="FF0000FF"/>
        <rFont val="Arial"/>
        <family val="2"/>
      </rPr>
      <t xml:space="preserve">
* ANTICIPO PAGADO
*1ERA SUSPENSIÓN FORMALIZADA
7 EST Y 1-2 CON ADICIONAL
* CONV MODIF DE REDUCCIÓN DE PLAZO FORMALIZADA</t>
    </r>
  </si>
  <si>
    <t>4.0 mdp</t>
  </si>
  <si>
    <r>
      <rPr>
        <b/>
        <sz val="12"/>
        <color rgb="FFFF0000"/>
        <rFont val="Arial"/>
        <family val="2"/>
      </rPr>
      <t xml:space="preserve">REFRENDO
</t>
    </r>
    <r>
      <rPr>
        <b/>
        <sz val="12"/>
        <color rgb="FF0000FF"/>
        <rFont val="Arial"/>
        <family val="2"/>
      </rPr>
      <t xml:space="preserve">
*CONVENIO EN MONTO FORMALIZADO
* EST. 4 FINAL DEL CONTRATO 
* EST. 2 FINAL DEL CA</t>
    </r>
  </si>
  <si>
    <t>IMPORTE CONTRATO FINAL C/IVA
PAD CON MONTO REFRENDO</t>
  </si>
  <si>
    <t>IMPORTE CONTRATO C/IVA
PAD SIN MONTO DEL REFENDO</t>
  </si>
  <si>
    <t>ESTIMACIONES REGISTRADAS 2022</t>
  </si>
  <si>
    <t>FID-088-22-CP</t>
  </si>
  <si>
    <t>REGISTRE</t>
  </si>
  <si>
    <t>CONTRATO</t>
  </si>
  <si>
    <t xml:space="preserve">ESTIMACIÓN </t>
  </si>
  <si>
    <t>MONTO DE LA EST</t>
  </si>
  <si>
    <t>Instalación de tubería de P.A.D. de 8", 6", 4", 3", 2" de diámetro con una longitud total de 24,600.00 ml, en red de distribución, construcción de 15.00 cajas para operación de válvulas, construcción de 3.00 cajas rompedoras de presión.</t>
  </si>
  <si>
    <t>Suministro e instalación de 1,671.58  m de tubería corrugada PAD de 305 mm (12 ”) de diámetro.
Construcción de 31  pozos de visita.
Construcción de  descargas domiciliarias 60 piezas.</t>
  </si>
  <si>
    <t>Equipamiento de pozo profundo de Piedras Anchas, construcción de tanque de regulación de 150 m3, suministro e instalación de tubería de P.A.D. de 2", 3" y 4" de diámetro con una longitud de 1,142.00 ml en línea de conducción, suministro en instalación de tubería de P.A.D.  de 2", 3" y 4" de diámetro con una longitud de 6,152 ml en la red de distribución, así como el equipamiento del pozo profundo de la Colonia Guadalupe.</t>
  </si>
  <si>
    <t>Zona media: Red de distribución tubería PEAD RD-17 de 2”, 13,243.57 ml , Red de distribución tubería PEAD RD- 21 de 3”, 1,876.70 ml, Red de distribución tubería PEAD RD- 21 de 4 “, 1,505.65 , 2 cajas rompedoras de presión.
Zona alta:  Tanque de 100 m3., Una caja rompedora de presión, Red de distribución tubería PEAD RD-17 de 2”, 7,312.63, Red de distribución tubería PEAD RD-21 de 4”, 1,789.21.</t>
  </si>
  <si>
    <t>Trabajos realizados: Construcción de desarenador, a base de una estructura de 32.076 m. de longitud
Construcción de  la primera etapa del desarenador  con una longitud en la estructura de 20.105 m
Construcción de la segunda  etapa del desarenador  con una longitud en la estructura de  11.971 m</t>
  </si>
  <si>
    <t>Construcción de 329 atraques en línea de conducción.
Construcción de 8 cajas rompedoras de presión en Red de Distribución.
Construcción de 2 cajas rompedoras de presión en Línea de Conducción.</t>
  </si>
  <si>
    <t>Instalación de tuberías de P.V.C. de 2”,3”,4” y 8”  de diámetro   2,531 m 
Construcción de cruceros (interconexiones)   90%
Tomas domiciliarias   1,110 tomas
Cajas de operación de válvulas  72 cajas</t>
  </si>
  <si>
    <t>Suministro e instalación desarenador centrifugo para 14.74 LPS , 40 HP, así como camisa o coraza de acero de 8” de diámetro para alojar equipo sumergible, conexión de arrancadores a tensión plena, para controlar motores de 3 HP y 7 HP, construcción de caja de operación de válvulas “tipo 2”, suministro y colocación de piezas especiales.</t>
  </si>
  <si>
    <t>Rehabilitación de red de distribución con tubería de PAD de 2” de diámetro…………………………  1,700 metros
reposición de asfalto………………………………..    1,700 metros 
tomas domiciliarias…………………………………………    90</t>
  </si>
  <si>
    <t>PTAR DONGU
MANTENIMIENTO DE 2 BOMBAS SUMERGIBLES DE 2 HP 
PLANTADO DE 2,440 CARRIZOS  
ARRANQUE Y ESTABILIZACIÓN DURANTE 45 DÍAS
OPERACIÓN TRANSITORIA DURANTE 60 DÍAS
ESTUDIO PARA LA CERTIFICACIÓN DE LA CALIDAD DE LA DESCARGA DEL INFLUENTE
ACTUALIZACIÓN DE EXPEDIENTE ELÉCTRICO
OBTENCIÓN DE PERMISOS DE DESCARGA
TRAMITE PARA EXCEPCIÓN DE IMPACTO AMBIENTAL
SUMINISTRO, INSTALACIÓN Y PRUEBA DE  2 BOMBA2 DOSIFICADORA DE HIPOCLORITO
PTAR SAN GABRIEL
MANTENIMIENTO DE 2 BOMBAS SUMERGIBLES DE 1 HP 
SUMINISTRO, INSTALACIÓN Y PRUEBA DE  2 BOMBA2 DOSIFICADORA DE HIPOCLORITO
TRAMITE PARA EXCEPCIÓN DE IMPACTO AMBIENTAL
OPERACIÓN TRANSITORIA DURANTE 30 DÍAS
OBTENCIÓN DE PERMISOS DE DESCARGA
PLANTADO DE 444 CARRIZOS  
REPARACIÓN DE FUGAS 
PTAR CABECERA MUNICIPAL
MANTENIMIENTO DE 2 BOMBAS SUMERGIBLES DE 1HP 
SUMINISTRO, INSTALACIÓN Y PRUEBA DE  2 BOMBAS DOSIFICADORA DE HIPOCLORITO
OBTENCIÓN DE PERMISOS DE DESCARGA
TRAMITE PARA EXCEPCIÓN DE IMPACTO AMBIENTAL
OPERACIÓN TRANSITORIA DURANTE 30 DÍAS
SUMINISTRO E INSTALACIÓN DE 2 BOMBAS PARA 1 LTS/SEG DE 1HP DE1 ½ “DE DIÁMETRO 
SUMINISTRO E INSTALACIÓN DE POLIPASTO PARA 0,250 TON. DE CAPACIDAD
SUMINISTRO, COLOCACIÓN Y PRUEBA DE COMBINACIÓN DE INTERRUPTOR TERMOMAGNÉTICO TRIFÁSICO DE 15 AMP.</t>
  </si>
  <si>
    <t>CONSTRUCCIÓN DE TANQUE DE REGULACIÓN DE 200 M3 DE CAPACIDAD EN CUARTEL LOURDES …………………………  1.00
TOMAS DOMICILIARIAS EN CUARTEL LOURDES………………………………………………..…………323
TOMAS DOMICILIARIAS EN CUARTEL CENTRÓ……………
RED DE DISTRIBUCIÓN EN CUARTEL ALDAMA CON TUBERÍA DE P.V.C DE 51 MM (2") DE DIÁMETRO…………….… 195.18 M
RED DE DISTRIBUCIÓN EN CUARTEL CENTRO CON TUBERÍA DE P.V.C DE 51 MM (2") DE DIÁMETRO…………………….. 2,540.38 M
LÍNEA DE CONDUCCIÓN A TANQUE ALDAMA CON TUBERÍA DE P.E.A.D.  DE 6” DE DIÁMETRO………………………….… ……….1,208.60 M
LÍNEA DE CONDUCCIÓN A TANQUE LOURDES CON TUBERÍA DE P.E.A.D.  DE 6” DE DIÁMETRO ……………………….. 833.3 M</t>
  </si>
  <si>
    <t>Trabajos complementarios para entrega de obra.
•	Colocación de tezontle……………………………..     100%
•	2 Rotulaciones y pintura………………………………  100%
•	3 Cajas de operación de válvulas …………………..   100%
•	Cambio de 2 válvulas de 6”………………………….    100%
•	Colocación de escalera marina interior y exterior de tanque………100%
•	Malla ciclónica………………………………………..     100%
•	Encofrado de concreto……………………………….  40 metros</t>
  </si>
  <si>
    <t>COMISIÓN DEL AGUA DEL ESTADO DE MÉXICO</t>
  </si>
  <si>
    <t>DIRECCIÓN GENERAL DE INFRAESTRUCTURA HIDRAULICA</t>
  </si>
  <si>
    <t>CONTROL</t>
  </si>
  <si>
    <t>PROGRAMA</t>
  </si>
  <si>
    <t>MUNICIPIO/LOCALIDAD</t>
  </si>
  <si>
    <t>CONTRATADO</t>
  </si>
  <si>
    <t>FECHA DE INICIO</t>
  </si>
  <si>
    <t>FECHA DE TERMINO</t>
  </si>
  <si>
    <t>AVANCE FISICO</t>
  </si>
  <si>
    <t>DESCRIPCION</t>
  </si>
  <si>
    <t>OBRAS TERMINADAS  Y OPERANDO EJERCICIO FISCAL 2022</t>
  </si>
  <si>
    <t xml:space="preserve">TRANSPARENCIA PROACTIVA </t>
  </si>
  <si>
    <t>Tema</t>
  </si>
  <si>
    <t>Disminuye asimetrías de la información Sí/No ¿Por qué?</t>
  </si>
  <si>
    <t>Mejora el acceso a trámites y servicios Si/No ¿Por qué?</t>
  </si>
  <si>
    <t>Optimiza la toma de decisiones de autoridades, ciudadanos o población en general Si/No ¿Por qué?</t>
  </si>
  <si>
    <t>Detona efectivamente la rendición de cuentas Si/No ¿Por qué?</t>
  </si>
  <si>
    <t>_____________________________________________________________</t>
  </si>
  <si>
    <t>ING. SONIA KARINA GUADARRAMA VILCHIS</t>
  </si>
  <si>
    <t>ENCARGADA DE LA DIRECCIÓN GENERAL DE INFRAESTRUCTURA HIDRÁULICA</t>
  </si>
  <si>
    <t>Procedimiento No. 2</t>
  </si>
  <si>
    <t>____________________________________________</t>
  </si>
  <si>
    <t>INFOGRAFÍA</t>
  </si>
  <si>
    <t>14 DE AGOSTO 2024</t>
  </si>
  <si>
    <t>1. Colector margen Izquierdo: Suministro y colocación de cajón de concreto reforzado con junta hermética de 1.00 x 1.00 m. x 1.50 mts. de largo con una longitud de 1,058 ml.
2. Colector margen Derecho: Suministro y colocación de cajón de concreto reforzado con junta hermética de 1.25 x 1.50 mts. de largo con una longitud de 938 ml.
3. Construcción de descargas domiciliarias en los dos márgenes.
4. Construcción de 28 cajas de deflexión a diferentes alturas.</t>
  </si>
  <si>
    <t>INSTALACIÓN DE TUBERÍA DE PEAD CORRUGADO DE 12” DE DIÁMETRO……… 6,373.11 M
CONSTRUCCIÓN DE POZOS DE VISITA PROFUNDIDAD VARIABLE 180  PZAS
CONSTRUCCIÓN DE 193 DESCARGAS DOMICILIARIAS</t>
  </si>
  <si>
    <t>Línea de conducción: Instalación de tubería de PAD de 4”y 6” de diámetro 936.43 m.
Red de distribución: Instalación de tubería de PVC de 2”, 2½” y 3” de diámetro  8,200.93 m.
318 Tomas domiciliarias</t>
  </si>
  <si>
    <t>Suministro de tubería de PEAD de 30 cms. de diámetro ……   11,078.24 metros
Suministro de tubería de PEAD de 38 cms. de diámetro …………   960.64 metros (PU EXTRAORD)
Suministro de tubería de PEAD de 15 cms. de diámetro  .…     1,220.00 metros
Instalación de  tubería de PEAD de 30 cms. de diámetro …..    9585.81 metros
Instalación de  tubería de PEAD de 38 cms. de diámetro …...   840.00 metros
Pozos de visita … 389
450 Descargas domiciliaria incluye reparaciones y nuevas</t>
  </si>
  <si>
    <t>Construcción de red de distribución con tubería de PAD de 2”, 2 ½”, 3”, 4” y 6”……….. 16,101.60  metros
800 Tomas domiciliarias
Cajas rompedoras de presión…………………… 1
Suministro de tubería de PAD de 2”, 3” y 6”…………..                16,669.60 metros</t>
  </si>
  <si>
    <t>Instalación de 1,636 m de tubería corrugada PAD de 24” de diámetro.
Construcción de 22 pozos de visita
Interconexión del colector pluvial al pozo de visita existente.</t>
  </si>
  <si>
    <t>•Prueba de funcionamiento en una cantidad de 26,340.89 ml.
•Realización de 618 cajas.
•Reparación de tubería de P.V.C. de 2” de diámetro. 326 pzas.
•Reparación de 09 tomas domiciliarias.
•Pago de servicio de luz ante CFE del mes de septiembre, octubre, noviembre y diciembre.
•Suministro e instalación de cercado perimetral de tanque elevado y tanque superficial.   1 pza.
•Construcción de 7 cajas de operación de válvulas.</t>
  </si>
  <si>
    <t>1. Obras de agua potable, drenaje y saneamiento concluidas y operando, ejercicio fiscal 2022</t>
  </si>
  <si>
    <t>Si. Los datos de las obras concluidas complementa a la ciudadanía la información recibida de los procesos licitatorios.</t>
  </si>
  <si>
    <t>Si. Se mejoran y amplían los servicios de agua potable, drenaje y tratamiento a la población en las comunidades y colonias en donde se ejecutaron las obras.</t>
  </si>
  <si>
    <t>Sí. Las autoridades municipales o locales que reciben las obras ejecutadas deben planear y programar los recursos necesarios para la operación, mantenimiento y administración, lo que implica una adecuada toma de decisiones.</t>
  </si>
  <si>
    <t xml:space="preserve">Los datos de las obras que se van a publicar transparentan la rendición de cuentas. 
</t>
  </si>
  <si>
    <r>
      <t>1.</t>
    </r>
    <r>
      <rPr>
        <u/>
        <sz val="12"/>
        <color theme="1"/>
        <rFont val="Estrangelo Edessa"/>
        <family val="4"/>
      </rPr>
      <t>Obras de agua potable drenaje y saneamiento concluidas y operando, ejercicio fiscal 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</si>
</sst>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8" formatCode="&quot;$&quot;#,##0.00;[Red]\-&quot;$&quot;#,##0.00"/>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0"/>
    <numFmt numFmtId="167" formatCode="\$#,#00"/>
    <numFmt numFmtId="168" formatCode="m\o\n\th\ d\,\ \y\y\y\y"/>
    <numFmt numFmtId="169" formatCode="_-[$€-2]* #,##0.00_-;\-[$€-2]* #,##0.00_-;_-[$€-2]* &quot;-&quot;??_-"/>
    <numFmt numFmtId="170" formatCode="#,#00"/>
    <numFmt numFmtId="171" formatCode="#,"/>
    <numFmt numFmtId="172" formatCode="%#,#00"/>
    <numFmt numFmtId="173" formatCode="0.0%"/>
    <numFmt numFmtId="174" formatCode="dd/mm/yyyy;@"/>
    <numFmt numFmtId="175" formatCode="0.0"/>
  </numFmts>
  <fonts count="65">
    <font>
      <sz val="11"/>
      <color theme="1"/>
      <name val="Calibri"/>
      <family val="2"/>
      <scheme val="minor"/>
    </font>
    <font>
      <sz val="11"/>
      <color theme="1"/>
      <name val="Calibri"/>
      <family val="2"/>
      <scheme val="minor"/>
    </font>
    <font>
      <sz val="10"/>
      <name val="Arial"/>
      <family val="2"/>
    </font>
    <font>
      <sz val="10"/>
      <name val="Arial"/>
      <family val="2"/>
    </font>
    <font>
      <sz val="1"/>
      <color indexed="8"/>
      <name val="Courier"/>
      <family val="3"/>
    </font>
    <font>
      <b/>
      <sz val="1"/>
      <color indexed="8"/>
      <name val="Courier"/>
      <family val="3"/>
    </font>
    <font>
      <b/>
      <sz val="8"/>
      <name val="Gotham Book"/>
      <family val="3"/>
    </font>
    <font>
      <sz val="10"/>
      <color theme="1"/>
      <name val="Arial"/>
      <family val="2"/>
    </font>
    <font>
      <u/>
      <sz val="11"/>
      <color theme="10"/>
      <name val="Calibri"/>
      <family val="2"/>
      <scheme val="minor"/>
    </font>
    <font>
      <sz val="10"/>
      <name val="Arial"/>
      <family val="2"/>
    </font>
    <font>
      <b/>
      <sz val="11"/>
      <color theme="1"/>
      <name val="Calibri"/>
      <family val="2"/>
      <scheme val="minor"/>
    </font>
    <font>
      <sz val="8"/>
      <name val="Calibri"/>
      <family val="2"/>
      <scheme val="minor"/>
    </font>
    <font>
      <sz val="12"/>
      <color theme="1"/>
      <name val="Arial"/>
      <family val="2"/>
    </font>
    <font>
      <b/>
      <sz val="10"/>
      <color theme="1"/>
      <name val="Arial"/>
      <family val="2"/>
    </font>
    <font>
      <sz val="10"/>
      <color rgb="FF0000FF"/>
      <name val="Arial"/>
      <family val="2"/>
    </font>
    <font>
      <sz val="10"/>
      <color rgb="FFFF0000"/>
      <name val="Arial"/>
      <family val="2"/>
    </font>
    <font>
      <b/>
      <sz val="10"/>
      <color rgb="FF0000FF"/>
      <name val="Arial"/>
      <family val="2"/>
    </font>
    <font>
      <sz val="6"/>
      <name val="Arial"/>
      <family val="2"/>
    </font>
    <font>
      <sz val="6"/>
      <name val="Arial"/>
      <family val="2"/>
    </font>
    <font>
      <sz val="6"/>
      <name val="Arial"/>
      <family val="2"/>
    </font>
    <font>
      <sz val="6"/>
      <name val="Arial"/>
      <family val="2"/>
    </font>
    <font>
      <sz val="6"/>
      <name val="Arial"/>
      <family val="2"/>
    </font>
    <font>
      <sz val="12"/>
      <color theme="1"/>
      <name val="Calibri"/>
      <family val="2"/>
      <scheme val="minor"/>
    </font>
    <font>
      <b/>
      <sz val="12"/>
      <name val="Gotham Book"/>
      <family val="3"/>
    </font>
    <font>
      <sz val="12"/>
      <name val="Arial"/>
      <family val="2"/>
    </font>
    <font>
      <u/>
      <sz val="12"/>
      <color theme="10"/>
      <name val="Calibri"/>
      <family val="2"/>
      <scheme val="minor"/>
    </font>
    <font>
      <u/>
      <sz val="12"/>
      <color theme="1"/>
      <name val="Calibri"/>
      <family val="2"/>
      <scheme val="minor"/>
    </font>
    <font>
      <sz val="12"/>
      <color theme="1" tint="4.9989318521683403E-2"/>
      <name val="Arial"/>
      <family val="2"/>
    </font>
    <font>
      <b/>
      <sz val="12"/>
      <color rgb="FFFF0000"/>
      <name val="Arial"/>
      <family val="2"/>
    </font>
    <font>
      <b/>
      <sz val="12"/>
      <color theme="1"/>
      <name val="Arial"/>
      <family val="2"/>
    </font>
    <font>
      <b/>
      <sz val="12"/>
      <color theme="1"/>
      <name val="Calibri"/>
      <family val="2"/>
      <scheme val="minor"/>
    </font>
    <font>
      <b/>
      <sz val="12"/>
      <color rgb="FF0000FF"/>
      <name val="Arial"/>
      <family val="2"/>
    </font>
    <font>
      <sz val="12"/>
      <color rgb="FFFF0000"/>
      <name val="Arial"/>
      <family val="2"/>
    </font>
    <font>
      <b/>
      <sz val="12"/>
      <color rgb="FF0000CC"/>
      <name val="Arial"/>
      <family val="2"/>
    </font>
    <font>
      <b/>
      <sz val="14"/>
      <color indexed="8"/>
      <name val="Arial"/>
      <family val="2"/>
    </font>
    <font>
      <b/>
      <sz val="8"/>
      <color rgb="FFFF0000"/>
      <name val="Gotham Book"/>
      <family val="3"/>
    </font>
    <font>
      <u/>
      <sz val="11"/>
      <color theme="1"/>
      <name val="Calibri"/>
      <family val="2"/>
      <scheme val="minor"/>
    </font>
    <font>
      <sz val="9"/>
      <color theme="1"/>
      <name val="Arial"/>
      <family val="2"/>
    </font>
    <font>
      <b/>
      <sz val="10"/>
      <name val="Arial"/>
      <family val="2"/>
    </font>
    <font>
      <sz val="10"/>
      <color rgb="FF3333FF"/>
      <name val="Arial"/>
      <family val="2"/>
    </font>
    <font>
      <sz val="12"/>
      <name val="Gotham Book"/>
      <family val="3"/>
    </font>
    <font>
      <sz val="12"/>
      <color indexed="8"/>
      <name val="Arial"/>
      <family val="2"/>
    </font>
    <font>
      <b/>
      <sz val="8"/>
      <color rgb="FF0000FF"/>
      <name val="Arial"/>
      <family val="2"/>
    </font>
    <font>
      <sz val="12"/>
      <color rgb="FF3333FF"/>
      <name val="Arial"/>
      <family val="2"/>
    </font>
    <font>
      <sz val="11"/>
      <name val="Arial"/>
      <family val="2"/>
    </font>
    <font>
      <sz val="6"/>
      <name val="Arial"/>
      <family val="2"/>
    </font>
    <font>
      <sz val="20"/>
      <color theme="1"/>
      <name val="Calibri"/>
      <family val="2"/>
      <scheme val="minor"/>
    </font>
    <font>
      <b/>
      <sz val="20"/>
      <color theme="1"/>
      <name val="Calibri"/>
      <family val="2"/>
      <scheme val="minor"/>
    </font>
    <font>
      <b/>
      <sz val="12"/>
      <color rgb="FF3333FF"/>
      <name val="Arial"/>
      <family val="2"/>
    </font>
    <font>
      <b/>
      <sz val="24"/>
      <color theme="1"/>
      <name val="Calibri"/>
      <family val="2"/>
      <scheme val="minor"/>
    </font>
    <font>
      <sz val="11"/>
      <color theme="1"/>
      <name val="Arial"/>
      <family val="2"/>
    </font>
    <font>
      <b/>
      <sz val="12"/>
      <name val="Gotham Book"/>
    </font>
    <font>
      <b/>
      <sz val="12"/>
      <name val="Arial"/>
      <family val="2"/>
    </font>
    <font>
      <b/>
      <sz val="10"/>
      <color rgb="FFFF33CC"/>
      <name val="Arial"/>
      <family val="2"/>
    </font>
    <font>
      <b/>
      <sz val="12"/>
      <color rgb="FFFF0000"/>
      <name val="Calibri"/>
      <family val="2"/>
      <scheme val="minor"/>
    </font>
    <font>
      <b/>
      <sz val="16"/>
      <color theme="1"/>
      <name val="Calibri"/>
      <family val="2"/>
      <scheme val="minor"/>
    </font>
    <font>
      <sz val="16"/>
      <color theme="1"/>
      <name val="Calibri"/>
      <family val="2"/>
      <scheme val="minor"/>
    </font>
    <font>
      <b/>
      <sz val="18"/>
      <color theme="0"/>
      <name val="Montserrat Regular"/>
    </font>
    <font>
      <b/>
      <sz val="11"/>
      <color theme="1"/>
      <name val="Montserrat Regular"/>
    </font>
    <font>
      <b/>
      <sz val="14"/>
      <color theme="1"/>
      <name val="Calibri"/>
      <family val="2"/>
      <scheme val="minor"/>
    </font>
    <font>
      <b/>
      <sz val="11"/>
      <color rgb="FF000000"/>
      <name val="Estrangelo Edessa"/>
      <family val="4"/>
    </font>
    <font>
      <sz val="12"/>
      <color theme="1"/>
      <name val="Estrangelo Edessa"/>
      <family val="4"/>
    </font>
    <font>
      <sz val="11"/>
      <color theme="1"/>
      <name val="Estrangelo Edessa"/>
      <family val="4"/>
    </font>
    <font>
      <b/>
      <sz val="12"/>
      <color theme="1"/>
      <name val="Estrangelo Edessa"/>
      <family val="4"/>
    </font>
    <font>
      <u/>
      <sz val="12"/>
      <color theme="1"/>
      <name val="Estrangelo Edessa"/>
      <family val="4"/>
    </font>
  </fonts>
  <fills count="27">
    <fill>
      <patternFill patternType="none"/>
    </fill>
    <fill>
      <patternFill patternType="gray125"/>
    </fill>
    <fill>
      <patternFill patternType="solid">
        <fgColor theme="0" tint="-0.34998626667073579"/>
        <bgColor indexed="64"/>
      </patternFill>
    </fill>
    <fill>
      <patternFill patternType="solid">
        <fgColor rgb="FF00B0F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C000"/>
        <bgColor indexed="64"/>
      </patternFill>
    </fill>
    <fill>
      <patternFill patternType="solid">
        <fgColor theme="4"/>
        <bgColor indexed="64"/>
      </patternFill>
    </fill>
    <fill>
      <patternFill patternType="solid">
        <fgColor theme="9"/>
        <bgColor indexed="64"/>
      </patternFill>
    </fill>
    <fill>
      <patternFill patternType="solid">
        <fgColor rgb="FFFF33CC"/>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indexed="9"/>
        <bgColor indexed="64"/>
      </patternFill>
    </fill>
    <fill>
      <patternFill patternType="solid">
        <fgColor theme="9" tint="0.39997558519241921"/>
        <bgColor indexed="64"/>
      </patternFill>
    </fill>
    <fill>
      <patternFill patternType="solid">
        <fgColor rgb="FFFF0000"/>
        <bgColor indexed="64"/>
      </patternFill>
    </fill>
    <fill>
      <patternFill patternType="solid">
        <fgColor theme="0" tint="-0.14999847407452621"/>
        <bgColor indexed="64"/>
      </patternFill>
    </fill>
    <fill>
      <patternFill patternType="solid">
        <fgColor rgb="FF92D050"/>
        <bgColor indexed="64"/>
      </patternFill>
    </fill>
    <fill>
      <patternFill patternType="solid">
        <fgColor rgb="FFCC99FF"/>
        <bgColor indexed="64"/>
      </patternFill>
    </fill>
    <fill>
      <patternFill patternType="solid">
        <fgColor theme="0" tint="-0.499984740745262"/>
        <bgColor indexed="64"/>
      </patternFill>
    </fill>
    <fill>
      <patternFill patternType="solid">
        <fgColor rgb="FF00B050"/>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rgb="FFFFFFCC"/>
        <bgColor indexed="64"/>
      </patternFill>
    </fill>
    <fill>
      <patternFill patternType="solid">
        <fgColor rgb="FFFF7C80"/>
        <bgColor indexed="64"/>
      </patternFill>
    </fill>
    <fill>
      <patternFill patternType="solid">
        <fgColor rgb="FF9F2240"/>
        <bgColor indexed="64"/>
      </patternFill>
    </fill>
    <fill>
      <patternFill patternType="solid">
        <fgColor rgb="FFE6DBC4"/>
        <bgColor indexed="64"/>
      </patternFill>
    </fill>
  </fills>
  <borders count="25">
    <border>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diagonal/>
    </border>
    <border>
      <left style="medium">
        <color indexed="64"/>
      </left>
      <right/>
      <top style="thin">
        <color indexed="64"/>
      </top>
      <bottom/>
      <diagonal/>
    </border>
    <border>
      <left style="thin">
        <color indexed="64"/>
      </left>
      <right style="thin">
        <color indexed="64"/>
      </right>
      <top style="hair">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n">
        <color indexed="64"/>
      </right>
      <top style="hair">
        <color indexed="64"/>
      </top>
      <bottom/>
      <diagonal/>
    </border>
    <border>
      <left style="thick">
        <color theme="0"/>
      </left>
      <right style="thick">
        <color theme="0"/>
      </right>
      <top style="thick">
        <color theme="0"/>
      </top>
      <bottom/>
      <diagonal/>
    </border>
    <border>
      <left/>
      <right/>
      <top style="thin">
        <color indexed="64"/>
      </top>
      <bottom/>
      <diagonal/>
    </border>
  </borders>
  <cellStyleXfs count="155">
    <xf numFmtId="0" fontId="0" fillId="0" borderId="0"/>
    <xf numFmtId="0" fontId="2" fillId="0" borderId="0"/>
    <xf numFmtId="166" fontId="4" fillId="0" borderId="0">
      <protection locked="0"/>
    </xf>
    <xf numFmtId="166" fontId="4" fillId="0" borderId="0">
      <protection locked="0"/>
    </xf>
    <xf numFmtId="166" fontId="4" fillId="0" borderId="0">
      <protection locked="0"/>
    </xf>
    <xf numFmtId="166" fontId="4" fillId="0" borderId="0">
      <protection locked="0"/>
    </xf>
    <xf numFmtId="166" fontId="4" fillId="0" borderId="0">
      <protection locked="0"/>
    </xf>
    <xf numFmtId="167" fontId="4" fillId="0" borderId="0">
      <protection locked="0"/>
    </xf>
    <xf numFmtId="167" fontId="4" fillId="0" borderId="0">
      <protection locked="0"/>
    </xf>
    <xf numFmtId="167" fontId="4" fillId="0" borderId="0">
      <protection locked="0"/>
    </xf>
    <xf numFmtId="167" fontId="4" fillId="0" borderId="0">
      <protection locked="0"/>
    </xf>
    <xf numFmtId="168" fontId="4" fillId="0" borderId="0">
      <protection locked="0"/>
    </xf>
    <xf numFmtId="168" fontId="4" fillId="0" borderId="0">
      <protection locked="0"/>
    </xf>
    <xf numFmtId="168" fontId="4" fillId="0" borderId="0">
      <protection locked="0"/>
    </xf>
    <xf numFmtId="168" fontId="4" fillId="0" borderId="0">
      <protection locked="0"/>
    </xf>
    <xf numFmtId="168" fontId="4" fillId="0" borderId="0">
      <protection locked="0"/>
    </xf>
    <xf numFmtId="0"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0" fontId="4" fillId="0" borderId="0">
      <protection locked="0"/>
    </xf>
    <xf numFmtId="170" fontId="4" fillId="0" borderId="0">
      <protection locked="0"/>
    </xf>
    <xf numFmtId="170" fontId="4" fillId="0" borderId="0">
      <protection locked="0"/>
    </xf>
    <xf numFmtId="170" fontId="4" fillId="0" borderId="0">
      <protection locked="0"/>
    </xf>
    <xf numFmtId="170" fontId="4" fillId="0" borderId="0">
      <protection locked="0"/>
    </xf>
    <xf numFmtId="171" fontId="5" fillId="0" borderId="0">
      <protection locked="0"/>
    </xf>
    <xf numFmtId="171" fontId="5" fillId="0" borderId="0">
      <protection locked="0"/>
    </xf>
    <xf numFmtId="171" fontId="5" fillId="0" borderId="0">
      <protection locked="0"/>
    </xf>
    <xf numFmtId="171" fontId="5" fillId="0" borderId="0">
      <protection locked="0"/>
    </xf>
    <xf numFmtId="171" fontId="5" fillId="0" borderId="0">
      <protection locked="0"/>
    </xf>
    <xf numFmtId="171" fontId="5" fillId="0" borderId="0">
      <protection locked="0"/>
    </xf>
    <xf numFmtId="171" fontId="5" fillId="0" borderId="0">
      <protection locked="0"/>
    </xf>
    <xf numFmtId="171" fontId="5" fillId="0" borderId="0">
      <protection locked="0"/>
    </xf>
    <xf numFmtId="171" fontId="5" fillId="0" borderId="0">
      <protection locked="0"/>
    </xf>
    <xf numFmtId="171" fontId="5" fillId="0" borderId="0">
      <protection locked="0"/>
    </xf>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0" fontId="3" fillId="0" borderId="0"/>
    <xf numFmtId="0" fontId="1" fillId="0" borderId="0"/>
    <xf numFmtId="172" fontId="4" fillId="0" borderId="0">
      <protection locked="0"/>
    </xf>
    <xf numFmtId="172" fontId="4" fillId="0" borderId="0">
      <protection locked="0"/>
    </xf>
    <xf numFmtId="172" fontId="4" fillId="0" borderId="0">
      <protection locked="0"/>
    </xf>
    <xf numFmtId="172" fontId="4" fillId="0" borderId="0">
      <protection locked="0"/>
    </xf>
    <xf numFmtId="9" fontId="3" fillId="0" borderId="0" applyFont="0" applyFill="0" applyBorder="0" applyAlignment="0" applyProtection="0"/>
    <xf numFmtId="9" fontId="3" fillId="0" borderId="0" applyFont="0" applyFill="0" applyBorder="0" applyAlignment="0" applyProtection="0"/>
    <xf numFmtId="171" fontId="4" fillId="0" borderId="1">
      <protection locked="0"/>
    </xf>
    <xf numFmtId="171" fontId="4" fillId="0" borderId="1">
      <protection locked="0"/>
    </xf>
    <xf numFmtId="171" fontId="4" fillId="0" borderId="1">
      <protection locked="0"/>
    </xf>
    <xf numFmtId="171" fontId="4" fillId="0" borderId="1">
      <protection locked="0"/>
    </xf>
    <xf numFmtId="171" fontId="4" fillId="0" borderId="1">
      <protection locked="0"/>
    </xf>
    <xf numFmtId="171" fontId="4" fillId="0" borderId="1">
      <protection locked="0"/>
    </xf>
    <xf numFmtId="0" fontId="8" fillId="0" borderId="0" applyNumberForma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9" fillId="0" borderId="0"/>
    <xf numFmtId="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0" fontId="17" fillId="0" borderId="0"/>
    <xf numFmtId="9"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0" fontId="18" fillId="0" borderId="0"/>
    <xf numFmtId="43" fontId="2" fillId="0" borderId="0" applyFont="0" applyFill="0" applyBorder="0" applyAlignment="0" applyProtection="0"/>
    <xf numFmtId="0" fontId="18"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9" fillId="0" borderId="0"/>
    <xf numFmtId="9" fontId="1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0" fontId="17" fillId="0" borderId="0"/>
    <xf numFmtId="0" fontId="20" fillId="0" borderId="0"/>
    <xf numFmtId="43" fontId="2" fillId="0" borderId="0" applyFont="0" applyFill="0" applyBorder="0" applyAlignment="0" applyProtection="0"/>
    <xf numFmtId="43" fontId="2" fillId="0" borderId="0" applyFont="0" applyFill="0" applyBorder="0" applyAlignment="0" applyProtection="0"/>
    <xf numFmtId="0" fontId="21" fillId="0" borderId="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165"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45"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9" fontId="1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0" fontId="17" fillId="0" borderId="0"/>
    <xf numFmtId="43" fontId="2" fillId="0" borderId="0" applyFont="0" applyFill="0" applyBorder="0" applyAlignment="0" applyProtection="0"/>
    <xf numFmtId="0" fontId="17"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7" fillId="0" borderId="0"/>
    <xf numFmtId="43" fontId="2"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0" fontId="17" fillId="0" borderId="0"/>
    <xf numFmtId="43" fontId="2" fillId="0" borderId="0" applyFont="0" applyFill="0" applyBorder="0" applyAlignment="0" applyProtection="0"/>
    <xf numFmtId="43" fontId="2" fillId="0" borderId="0" applyFont="0" applyFill="0" applyBorder="0" applyAlignment="0" applyProtection="0"/>
    <xf numFmtId="0" fontId="17" fillId="0" borderId="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7"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0" fontId="1" fillId="0" borderId="0"/>
  </cellStyleXfs>
  <cellXfs count="495">
    <xf numFmtId="0" fontId="0" fillId="0" borderId="0" xfId="0"/>
    <xf numFmtId="0" fontId="6" fillId="2" borderId="2" xfId="1" applyFont="1" applyFill="1" applyBorder="1" applyAlignment="1">
      <alignment horizontal="center" vertical="center" wrapText="1"/>
    </xf>
    <xf numFmtId="164" fontId="0" fillId="0" borderId="0" xfId="0" applyNumberFormat="1"/>
    <xf numFmtId="0" fontId="2" fillId="0" borderId="2" xfId="1" applyBorder="1" applyAlignment="1">
      <alignment horizontal="center" vertical="center" wrapText="1"/>
    </xf>
    <xf numFmtId="164" fontId="0" fillId="0" borderId="0" xfId="54" applyFont="1" applyBorder="1"/>
    <xf numFmtId="0" fontId="8" fillId="0" borderId="2" xfId="53" applyFill="1" applyBorder="1" applyAlignment="1">
      <alignment vertical="center" wrapText="1"/>
    </xf>
    <xf numFmtId="3" fontId="12" fillId="4" borderId="2" xfId="0" applyNumberFormat="1" applyFont="1" applyFill="1" applyBorder="1" applyAlignment="1">
      <alignment horizontal="center" vertical="center" wrapText="1"/>
    </xf>
    <xf numFmtId="0" fontId="7" fillId="0" borderId="3" xfId="1" applyFont="1" applyBorder="1" applyAlignment="1">
      <alignment horizontal="justify" vertical="center" wrapText="1"/>
    </xf>
    <xf numFmtId="0" fontId="7" fillId="0" borderId="2" xfId="1" applyFont="1" applyBorder="1" applyAlignment="1">
      <alignment horizontal="justify" vertical="center" wrapText="1"/>
    </xf>
    <xf numFmtId="0" fontId="7" fillId="0" borderId="2" xfId="1" applyFont="1" applyBorder="1" applyAlignment="1">
      <alignment horizontal="center" vertical="center" wrapText="1"/>
    </xf>
    <xf numFmtId="14" fontId="7" fillId="0" borderId="2" xfId="1" applyNumberFormat="1" applyFont="1" applyBorder="1" applyAlignment="1">
      <alignment horizontal="justify" vertical="center" wrapText="1"/>
    </xf>
    <xf numFmtId="14" fontId="7" fillId="0" borderId="2" xfId="1" applyNumberFormat="1" applyFont="1" applyBorder="1" applyAlignment="1">
      <alignment horizontal="center" vertical="center" wrapText="1"/>
    </xf>
    <xf numFmtId="0" fontId="10" fillId="8" borderId="0" xfId="0" applyFont="1" applyFill="1"/>
    <xf numFmtId="164" fontId="7" fillId="0" borderId="2" xfId="1" applyNumberFormat="1" applyFont="1" applyBorder="1" applyAlignment="1">
      <alignment horizontal="center" vertical="center" wrapText="1"/>
    </xf>
    <xf numFmtId="0" fontId="22" fillId="0" borderId="0" xfId="0" applyFont="1"/>
    <xf numFmtId="0" fontId="24" fillId="0" borderId="5" xfId="1" applyFont="1" applyBorder="1" applyAlignment="1">
      <alignment horizontal="center" vertical="center" wrapText="1"/>
    </xf>
    <xf numFmtId="0" fontId="25" fillId="0" borderId="5" xfId="53" applyFont="1" applyFill="1" applyBorder="1" applyAlignment="1">
      <alignment vertical="center" wrapText="1"/>
    </xf>
    <xf numFmtId="0" fontId="26" fillId="0" borderId="5" xfId="53" applyFont="1" applyFill="1" applyBorder="1" applyAlignment="1">
      <alignment horizontal="justify" vertical="center" wrapText="1"/>
    </xf>
    <xf numFmtId="0" fontId="12" fillId="0" borderId="5" xfId="1" applyFont="1" applyBorder="1" applyAlignment="1">
      <alignment horizontal="justify" vertical="center" wrapText="1"/>
    </xf>
    <xf numFmtId="164" fontId="12" fillId="0" borderId="5" xfId="1" applyNumberFormat="1" applyFont="1" applyBorder="1" applyAlignment="1">
      <alignment horizontal="justify" vertical="center" wrapText="1"/>
    </xf>
    <xf numFmtId="0" fontId="12" fillId="0" borderId="2" xfId="1" applyFont="1" applyBorder="1" applyAlignment="1">
      <alignment horizontal="center" vertical="center" wrapText="1"/>
    </xf>
    <xf numFmtId="0" fontId="27" fillId="0" borderId="5" xfId="1" applyFont="1" applyBorder="1" applyAlignment="1">
      <alignment horizontal="justify" vertical="center" wrapText="1"/>
    </xf>
    <xf numFmtId="14" fontId="27" fillId="0" borderId="5" xfId="1" applyNumberFormat="1" applyFont="1" applyBorder="1" applyAlignment="1">
      <alignment horizontal="justify" vertical="center" wrapText="1"/>
    </xf>
    <xf numFmtId="164" fontId="27" fillId="0" borderId="5" xfId="37" applyFont="1" applyFill="1" applyBorder="1" applyAlignment="1">
      <alignment horizontal="justify" vertical="center" wrapText="1"/>
    </xf>
    <xf numFmtId="0" fontId="28" fillId="0" borderId="5" xfId="1" applyFont="1" applyBorder="1" applyAlignment="1">
      <alignment horizontal="center" vertical="center" wrapText="1"/>
    </xf>
    <xf numFmtId="3" fontId="12" fillId="0" borderId="5" xfId="1" applyNumberFormat="1" applyFont="1" applyBorder="1" applyAlignment="1">
      <alignment horizontal="center" vertical="center" wrapText="1"/>
    </xf>
    <xf numFmtId="0" fontId="25" fillId="0" borderId="0" xfId="53" applyFont="1" applyAlignment="1">
      <alignment vertical="center" wrapText="1"/>
    </xf>
    <xf numFmtId="164" fontId="30" fillId="7" borderId="5" xfId="0" applyNumberFormat="1" applyFont="1" applyFill="1" applyBorder="1" applyAlignment="1">
      <alignment horizontal="center" vertical="center"/>
    </xf>
    <xf numFmtId="0" fontId="30" fillId="7" borderId="5" xfId="0" applyFont="1" applyFill="1" applyBorder="1" applyAlignment="1">
      <alignment horizontal="center" vertical="center"/>
    </xf>
    <xf numFmtId="0" fontId="30" fillId="0" borderId="0" xfId="0" applyFont="1" applyAlignment="1">
      <alignment horizontal="center" vertical="center"/>
    </xf>
    <xf numFmtId="173" fontId="29" fillId="7" borderId="2" xfId="45" applyNumberFormat="1" applyFont="1" applyFill="1" applyBorder="1" applyAlignment="1">
      <alignment horizontal="center" vertical="center" wrapText="1"/>
    </xf>
    <xf numFmtId="164" fontId="22" fillId="0" borderId="0" xfId="0" applyNumberFormat="1" applyFont="1"/>
    <xf numFmtId="44" fontId="22" fillId="0" borderId="0" xfId="0" applyNumberFormat="1" applyFont="1"/>
    <xf numFmtId="9" fontId="22" fillId="0" borderId="0" xfId="55" applyFont="1"/>
    <xf numFmtId="164" fontId="27" fillId="0" borderId="0" xfId="37" applyFont="1" applyFill="1" applyBorder="1" applyAlignment="1">
      <alignment horizontal="justify" vertical="center" wrapText="1"/>
    </xf>
    <xf numFmtId="0" fontId="12" fillId="0" borderId="0" xfId="1" applyFont="1" applyAlignment="1">
      <alignment horizontal="justify" vertical="center" wrapText="1"/>
    </xf>
    <xf numFmtId="173" fontId="22" fillId="0" borderId="0" xfId="0" applyNumberFormat="1" applyFont="1"/>
    <xf numFmtId="9" fontId="22" fillId="0" borderId="0" xfId="55" applyFont="1" applyFill="1" applyBorder="1"/>
    <xf numFmtId="4" fontId="22" fillId="0" borderId="0" xfId="0" applyNumberFormat="1" applyFont="1"/>
    <xf numFmtId="0" fontId="29" fillId="0" borderId="0" xfId="1" applyFont="1" applyAlignment="1">
      <alignment horizontal="justify" vertical="center" wrapText="1"/>
    </xf>
    <xf numFmtId="173" fontId="30" fillId="0" borderId="0" xfId="0" applyNumberFormat="1" applyFont="1"/>
    <xf numFmtId="9" fontId="30" fillId="0" borderId="0" xfId="55" applyFont="1" applyFill="1" applyBorder="1"/>
    <xf numFmtId="0" fontId="22" fillId="0" borderId="0" xfId="0" applyFont="1" applyAlignment="1">
      <alignment vertical="center"/>
    </xf>
    <xf numFmtId="164" fontId="22" fillId="0" borderId="0" xfId="54" applyFont="1" applyFill="1" applyBorder="1"/>
    <xf numFmtId="0" fontId="30" fillId="0" borderId="0" xfId="0" applyFont="1" applyAlignment="1">
      <alignment wrapText="1"/>
    </xf>
    <xf numFmtId="164" fontId="30" fillId="0" borderId="0" xfId="54" applyFont="1" applyFill="1" applyBorder="1"/>
    <xf numFmtId="2" fontId="22" fillId="0" borderId="0" xfId="0" applyNumberFormat="1" applyFont="1"/>
    <xf numFmtId="0" fontId="12" fillId="0" borderId="5" xfId="1" applyFont="1" applyBorder="1" applyAlignment="1">
      <alignment horizontal="center" vertical="center" wrapText="1"/>
    </xf>
    <xf numFmtId="14" fontId="27" fillId="0" borderId="5" xfId="1" applyNumberFormat="1" applyFont="1" applyBorder="1" applyAlignment="1">
      <alignment horizontal="center" vertical="center" wrapText="1"/>
    </xf>
    <xf numFmtId="3" fontId="12" fillId="0" borderId="5" xfId="1" applyNumberFormat="1" applyFont="1" applyBorder="1" applyAlignment="1">
      <alignment horizontal="center" vertical="top" wrapText="1"/>
    </xf>
    <xf numFmtId="164" fontId="12" fillId="0" borderId="5" xfId="63" applyFont="1" applyFill="1" applyBorder="1" applyAlignment="1">
      <alignment horizontal="justify" vertical="center" wrapText="1"/>
    </xf>
    <xf numFmtId="0" fontId="31" fillId="0" borderId="5" xfId="1" applyFont="1" applyBorder="1" applyAlignment="1">
      <alignment horizontal="center" vertical="center" wrapText="1"/>
    </xf>
    <xf numFmtId="164" fontId="24" fillId="0" borderId="5" xfId="63" applyFont="1" applyFill="1" applyBorder="1" applyAlignment="1">
      <alignment horizontal="justify" vertical="center" wrapText="1"/>
    </xf>
    <xf numFmtId="0" fontId="26" fillId="0" borderId="2" xfId="53" applyFont="1" applyFill="1" applyBorder="1" applyAlignment="1">
      <alignment horizontal="justify" vertical="center" wrapText="1"/>
    </xf>
    <xf numFmtId="14" fontId="12" fillId="0" borderId="5" xfId="1" applyNumberFormat="1" applyFont="1" applyBorder="1" applyAlignment="1">
      <alignment horizontal="center" vertical="center" wrapText="1"/>
    </xf>
    <xf numFmtId="14" fontId="12" fillId="0" borderId="5" xfId="1" applyNumberFormat="1" applyFont="1" applyBorder="1" applyAlignment="1">
      <alignment horizontal="justify" vertical="center" wrapText="1"/>
    </xf>
    <xf numFmtId="0" fontId="8" fillId="0" borderId="5" xfId="53" applyFill="1" applyBorder="1" applyAlignment="1">
      <alignment vertical="center" wrapText="1"/>
    </xf>
    <xf numFmtId="164" fontId="12" fillId="0" borderId="5" xfId="1" applyNumberFormat="1" applyFont="1" applyBorder="1" applyAlignment="1">
      <alignment horizontal="center" vertical="center" wrapText="1"/>
    </xf>
    <xf numFmtId="164" fontId="23" fillId="15" borderId="2" xfId="37" applyFont="1" applyFill="1" applyBorder="1" applyAlignment="1">
      <alignment horizontal="center" vertical="center" wrapText="1"/>
    </xf>
    <xf numFmtId="3" fontId="12" fillId="15" borderId="2" xfId="0" applyNumberFormat="1" applyFont="1" applyFill="1" applyBorder="1" applyAlignment="1">
      <alignment horizontal="center" vertical="center" wrapText="1"/>
    </xf>
    <xf numFmtId="0" fontId="24" fillId="16" borderId="5" xfId="1" applyFont="1" applyFill="1" applyBorder="1" applyAlignment="1">
      <alignment horizontal="center" vertical="center" wrapText="1"/>
    </xf>
    <xf numFmtId="0" fontId="26" fillId="16" borderId="5" xfId="53" applyFont="1" applyFill="1" applyBorder="1" applyAlignment="1">
      <alignment horizontal="justify" vertical="center" wrapText="1"/>
    </xf>
    <xf numFmtId="0" fontId="12" fillId="16" borderId="5" xfId="1" applyFont="1" applyFill="1" applyBorder="1" applyAlignment="1">
      <alignment horizontal="center" vertical="center" wrapText="1"/>
    </xf>
    <xf numFmtId="0" fontId="12" fillId="16" borderId="5" xfId="1" applyFont="1" applyFill="1" applyBorder="1" applyAlignment="1">
      <alignment horizontal="justify" vertical="center" wrapText="1"/>
    </xf>
    <xf numFmtId="164" fontId="12" fillId="16" borderId="5" xfId="1" applyNumberFormat="1" applyFont="1" applyFill="1" applyBorder="1" applyAlignment="1">
      <alignment horizontal="justify" vertical="center" wrapText="1"/>
    </xf>
    <xf numFmtId="0" fontId="12" fillId="16" borderId="2" xfId="1" applyFont="1" applyFill="1" applyBorder="1" applyAlignment="1">
      <alignment horizontal="center" vertical="center" wrapText="1"/>
    </xf>
    <xf numFmtId="0" fontId="27" fillId="16" borderId="5" xfId="1" applyFont="1" applyFill="1" applyBorder="1" applyAlignment="1">
      <alignment horizontal="justify" vertical="center" wrapText="1"/>
    </xf>
    <xf numFmtId="14" fontId="27" fillId="16" borderId="5" xfId="1" applyNumberFormat="1" applyFont="1" applyFill="1" applyBorder="1" applyAlignment="1">
      <alignment horizontal="justify" vertical="center" wrapText="1"/>
    </xf>
    <xf numFmtId="14" fontId="27" fillId="16" borderId="5" xfId="1" applyNumberFormat="1" applyFont="1" applyFill="1" applyBorder="1" applyAlignment="1">
      <alignment horizontal="center" vertical="center" wrapText="1"/>
    </xf>
    <xf numFmtId="3" fontId="12" fillId="16" borderId="5" xfId="1" applyNumberFormat="1" applyFont="1" applyFill="1" applyBorder="1" applyAlignment="1">
      <alignment horizontal="center" vertical="center" wrapText="1"/>
    </xf>
    <xf numFmtId="0" fontId="12" fillId="0" borderId="2" xfId="1" applyFont="1" applyBorder="1" applyAlignment="1">
      <alignment horizontal="justify" vertical="center" wrapText="1"/>
    </xf>
    <xf numFmtId="0" fontId="27" fillId="0" borderId="2" xfId="1" applyFont="1" applyBorder="1" applyAlignment="1">
      <alignment horizontal="justify" vertical="center" wrapText="1"/>
    </xf>
    <xf numFmtId="14" fontId="27" fillId="0" borderId="2" xfId="1" applyNumberFormat="1" applyFont="1" applyBorder="1" applyAlignment="1">
      <alignment horizontal="justify" vertical="center" wrapText="1"/>
    </xf>
    <xf numFmtId="14" fontId="27" fillId="0" borderId="2" xfId="1" applyNumberFormat="1" applyFont="1" applyBorder="1" applyAlignment="1">
      <alignment horizontal="center" vertical="center" wrapText="1"/>
    </xf>
    <xf numFmtId="3" fontId="12" fillId="0" borderId="2" xfId="1" applyNumberFormat="1" applyFont="1" applyBorder="1" applyAlignment="1">
      <alignment horizontal="center" vertical="center" wrapText="1"/>
    </xf>
    <xf numFmtId="0" fontId="8" fillId="0" borderId="2" xfId="53" applyFill="1" applyBorder="1" applyAlignment="1">
      <alignment horizontal="justify" vertical="center" wrapText="1"/>
    </xf>
    <xf numFmtId="0" fontId="26" fillId="16" borderId="2" xfId="53" applyFont="1" applyFill="1" applyBorder="1" applyAlignment="1">
      <alignment horizontal="justify" vertical="center" wrapText="1"/>
    </xf>
    <xf numFmtId="0" fontId="12" fillId="16" borderId="2" xfId="1" applyFont="1" applyFill="1" applyBorder="1" applyAlignment="1">
      <alignment horizontal="justify" vertical="center" wrapText="1"/>
    </xf>
    <xf numFmtId="164" fontId="12" fillId="16" borderId="2" xfId="1" applyNumberFormat="1" applyFont="1" applyFill="1" applyBorder="1" applyAlignment="1">
      <alignment horizontal="justify" vertical="center" wrapText="1"/>
    </xf>
    <xf numFmtId="14" fontId="34" fillId="0" borderId="0" xfId="0" applyNumberFormat="1" applyFont="1" applyAlignment="1">
      <alignment horizontal="centerContinuous" vertical="center"/>
    </xf>
    <xf numFmtId="0" fontId="35" fillId="5" borderId="2" xfId="1" applyFont="1" applyFill="1" applyBorder="1" applyAlignment="1">
      <alignment horizontal="center" vertical="center" wrapText="1"/>
    </xf>
    <xf numFmtId="164" fontId="6" fillId="2" borderId="2" xfId="63" applyFont="1" applyFill="1" applyBorder="1" applyAlignment="1">
      <alignment horizontal="center" vertical="center" wrapText="1"/>
    </xf>
    <xf numFmtId="164" fontId="6" fillId="10" borderId="2" xfId="63" applyFont="1" applyFill="1" applyBorder="1" applyAlignment="1">
      <alignment horizontal="center" vertical="center" wrapText="1"/>
    </xf>
    <xf numFmtId="164" fontId="6" fillId="3" borderId="2" xfId="63" applyFont="1" applyFill="1" applyBorder="1" applyAlignment="1">
      <alignment horizontal="center" vertical="center" wrapText="1"/>
    </xf>
    <xf numFmtId="164" fontId="6" fillId="9" borderId="2" xfId="63" applyFont="1" applyFill="1" applyBorder="1" applyAlignment="1">
      <alignment horizontal="center" vertical="center" wrapText="1"/>
    </xf>
    <xf numFmtId="9" fontId="6" fillId="6" borderId="2" xfId="96" applyFont="1" applyFill="1" applyBorder="1" applyAlignment="1">
      <alignment horizontal="center" vertical="center" wrapText="1"/>
    </xf>
    <xf numFmtId="3" fontId="12" fillId="5" borderId="2" xfId="0" applyNumberFormat="1" applyFont="1" applyFill="1" applyBorder="1" applyAlignment="1">
      <alignment horizontal="center" vertical="center" wrapText="1"/>
    </xf>
    <xf numFmtId="0" fontId="2" fillId="0" borderId="5" xfId="1" applyBorder="1" applyAlignment="1">
      <alignment horizontal="center" vertical="center" wrapText="1"/>
    </xf>
    <xf numFmtId="0" fontId="36" fillId="0" borderId="5" xfId="53" applyFont="1" applyFill="1" applyBorder="1" applyAlignment="1">
      <alignment horizontal="justify" vertical="center" wrapText="1"/>
    </xf>
    <xf numFmtId="0" fontId="7" fillId="0" borderId="5" xfId="1" applyFont="1" applyBorder="1" applyAlignment="1">
      <alignment horizontal="center" vertical="center" wrapText="1"/>
    </xf>
    <xf numFmtId="0" fontId="7" fillId="0" borderId="5" xfId="1" applyFont="1" applyBorder="1" applyAlignment="1">
      <alignment horizontal="justify" vertical="center" wrapText="1"/>
    </xf>
    <xf numFmtId="0" fontId="7" fillId="5" borderId="5" xfId="1" applyFont="1" applyFill="1" applyBorder="1" applyAlignment="1">
      <alignment horizontal="justify" vertical="center" wrapText="1"/>
    </xf>
    <xf numFmtId="164" fontId="7" fillId="0" borderId="5" xfId="1" applyNumberFormat="1" applyFont="1" applyBorder="1" applyAlignment="1">
      <alignment horizontal="justify" vertical="center" wrapText="1"/>
    </xf>
    <xf numFmtId="0" fontId="0" fillId="0" borderId="2" xfId="0" applyBorder="1" applyAlignment="1">
      <alignment horizontal="center" vertical="center" wrapText="1"/>
    </xf>
    <xf numFmtId="14" fontId="7" fillId="0" borderId="5" xfId="1" applyNumberFormat="1" applyFont="1" applyBorder="1" applyAlignment="1">
      <alignment horizontal="justify" vertical="center" wrapText="1"/>
    </xf>
    <xf numFmtId="14" fontId="7" fillId="0" borderId="5" xfId="1" applyNumberFormat="1" applyFont="1" applyBorder="1" applyAlignment="1">
      <alignment horizontal="center" vertical="center" wrapText="1"/>
    </xf>
    <xf numFmtId="164" fontId="7" fillId="0" borderId="5" xfId="63" applyFont="1" applyFill="1" applyBorder="1" applyAlignment="1">
      <alignment horizontal="justify" vertical="center" wrapText="1"/>
    </xf>
    <xf numFmtId="164" fontId="7" fillId="0" borderId="2" xfId="63" applyFont="1" applyFill="1" applyBorder="1" applyAlignment="1">
      <alignment horizontal="justify" vertical="center" wrapText="1"/>
    </xf>
    <xf numFmtId="2" fontId="7" fillId="0" borderId="5" xfId="97" applyNumberFormat="1" applyFont="1" applyFill="1" applyBorder="1" applyAlignment="1">
      <alignment horizontal="center" vertical="center" wrapText="1"/>
    </xf>
    <xf numFmtId="10" fontId="7" fillId="0" borderId="5" xfId="96" applyNumberFormat="1" applyFont="1" applyFill="1" applyBorder="1" applyAlignment="1">
      <alignment horizontal="justify" vertical="center" wrapText="1"/>
    </xf>
    <xf numFmtId="173" fontId="7" fillId="0" borderId="5" xfId="96" applyNumberFormat="1" applyFont="1" applyFill="1" applyBorder="1" applyAlignment="1">
      <alignment horizontal="justify" vertical="center" wrapText="1"/>
    </xf>
    <xf numFmtId="173" fontId="7" fillId="0" borderId="5" xfId="96" applyNumberFormat="1" applyFont="1" applyFill="1" applyBorder="1" applyAlignment="1">
      <alignment horizontal="center" vertical="center" wrapText="1"/>
    </xf>
    <xf numFmtId="3" fontId="7" fillId="0" borderId="5" xfId="1" applyNumberFormat="1" applyFont="1" applyBorder="1" applyAlignment="1">
      <alignment horizontal="center" vertical="center" wrapText="1"/>
    </xf>
    <xf numFmtId="0" fontId="7" fillId="0" borderId="5" xfId="1" applyFont="1" applyBorder="1" applyAlignment="1">
      <alignment horizontal="justify" vertical="justify" wrapText="1"/>
    </xf>
    <xf numFmtId="0" fontId="7" fillId="13" borderId="5" xfId="1" applyFont="1" applyFill="1" applyBorder="1" applyAlignment="1">
      <alignment horizontal="center" vertical="center" wrapText="1"/>
    </xf>
    <xf numFmtId="0" fontId="7" fillId="11" borderId="5" xfId="1" applyFont="1" applyFill="1" applyBorder="1" applyAlignment="1">
      <alignment horizontal="center" vertical="center" wrapText="1"/>
    </xf>
    <xf numFmtId="14" fontId="7" fillId="0" borderId="5" xfId="63" applyNumberFormat="1" applyFont="1" applyFill="1" applyBorder="1" applyAlignment="1">
      <alignment horizontal="justify" vertical="center" wrapText="1"/>
    </xf>
    <xf numFmtId="0" fontId="2" fillId="0" borderId="5" xfId="1" applyBorder="1" applyAlignment="1">
      <alignment horizontal="justify" vertical="center" wrapText="1"/>
    </xf>
    <xf numFmtId="3" fontId="2" fillId="0" borderId="5" xfId="1" applyNumberFormat="1" applyBorder="1" applyAlignment="1">
      <alignment horizontal="center" vertical="center" wrapText="1"/>
    </xf>
    <xf numFmtId="0" fontId="2" fillId="0" borderId="5" xfId="1" applyBorder="1" applyAlignment="1">
      <alignment horizontal="justify" vertical="justify" wrapText="1"/>
    </xf>
    <xf numFmtId="14" fontId="7" fillId="0" borderId="5" xfId="63" applyNumberFormat="1" applyFont="1" applyFill="1" applyBorder="1" applyAlignment="1">
      <alignment horizontal="center" vertical="center" wrapText="1"/>
    </xf>
    <xf numFmtId="0" fontId="16" fillId="0" borderId="5" xfId="1" applyFont="1" applyBorder="1" applyAlignment="1">
      <alignment horizontal="center" vertical="center" wrapText="1"/>
    </xf>
    <xf numFmtId="174" fontId="37" fillId="12" borderId="2" xfId="0" applyNumberFormat="1" applyFont="1" applyFill="1" applyBorder="1" applyAlignment="1">
      <alignment horizontal="center" vertical="center"/>
    </xf>
    <xf numFmtId="0" fontId="14" fillId="0" borderId="5" xfId="1" applyFont="1" applyBorder="1" applyAlignment="1">
      <alignment horizontal="center" vertical="center" wrapText="1"/>
    </xf>
    <xf numFmtId="14" fontId="37" fillId="12" borderId="2" xfId="0" applyNumberFormat="1" applyFont="1" applyFill="1" applyBorder="1" applyAlignment="1">
      <alignment horizontal="center" vertical="center"/>
    </xf>
    <xf numFmtId="164" fontId="7" fillId="0" borderId="5" xfId="63" applyFont="1" applyFill="1" applyBorder="1" applyAlignment="1">
      <alignment horizontal="center" vertical="center" wrapText="1"/>
    </xf>
    <xf numFmtId="0" fontId="15" fillId="0" borderId="5" xfId="1" applyFont="1" applyBorder="1" applyAlignment="1">
      <alignment horizontal="justify" vertical="justify" wrapText="1"/>
    </xf>
    <xf numFmtId="164" fontId="7" fillId="16" borderId="5" xfId="63" applyFont="1" applyFill="1" applyBorder="1" applyAlignment="1">
      <alignment horizontal="justify" vertical="center" wrapText="1"/>
    </xf>
    <xf numFmtId="0" fontId="14" fillId="0" borderId="5" xfId="1" applyFont="1" applyBorder="1" applyAlignment="1">
      <alignment horizontal="justify" vertical="justify" wrapText="1"/>
    </xf>
    <xf numFmtId="0" fontId="7" fillId="14" borderId="5" xfId="1" applyFont="1" applyFill="1" applyBorder="1" applyAlignment="1">
      <alignment horizontal="center" vertical="center" wrapText="1"/>
    </xf>
    <xf numFmtId="14" fontId="37" fillId="12" borderId="2" xfId="0" applyNumberFormat="1" applyFont="1" applyFill="1" applyBorder="1" applyAlignment="1">
      <alignment horizontal="center" vertical="center" wrapText="1"/>
    </xf>
    <xf numFmtId="164" fontId="7" fillId="8" borderId="5" xfId="63" applyFont="1" applyFill="1" applyBorder="1" applyAlignment="1">
      <alignment horizontal="justify" vertical="center" wrapText="1"/>
    </xf>
    <xf numFmtId="0" fontId="38" fillId="5" borderId="5" xfId="1" applyFont="1" applyFill="1" applyBorder="1" applyAlignment="1">
      <alignment horizontal="center" vertical="center" wrapText="1"/>
    </xf>
    <xf numFmtId="0" fontId="1" fillId="0" borderId="0" xfId="0" applyFont="1"/>
    <xf numFmtId="14" fontId="37" fillId="12" borderId="6" xfId="0" applyNumberFormat="1" applyFont="1" applyFill="1" applyBorder="1" applyAlignment="1">
      <alignment horizontal="center" vertical="center"/>
    </xf>
    <xf numFmtId="0" fontId="8" fillId="0" borderId="5" xfId="53" applyFill="1" applyBorder="1" applyAlignment="1">
      <alignment horizontal="justify" vertical="center" wrapText="1"/>
    </xf>
    <xf numFmtId="173" fontId="13" fillId="0" borderId="5" xfId="96" applyNumberFormat="1" applyFont="1" applyFill="1" applyBorder="1" applyAlignment="1">
      <alignment horizontal="center" vertical="center" wrapText="1"/>
    </xf>
    <xf numFmtId="164" fontId="13" fillId="0" borderId="5" xfId="63" applyFont="1" applyFill="1" applyBorder="1" applyAlignment="1">
      <alignment horizontal="justify" vertical="center" wrapText="1"/>
    </xf>
    <xf numFmtId="0" fontId="36" fillId="0" borderId="2" xfId="53" applyFont="1" applyFill="1" applyBorder="1" applyAlignment="1">
      <alignment horizontal="justify" vertical="center" wrapText="1"/>
    </xf>
    <xf numFmtId="0" fontId="7" fillId="5" borderId="2" xfId="1" applyFont="1" applyFill="1" applyBorder="1" applyAlignment="1">
      <alignment horizontal="justify" vertical="center" wrapText="1"/>
    </xf>
    <xf numFmtId="164" fontId="7" fillId="0" borderId="2" xfId="1" applyNumberFormat="1" applyFont="1" applyBorder="1" applyAlignment="1">
      <alignment horizontal="justify" vertical="center" wrapText="1"/>
    </xf>
    <xf numFmtId="0" fontId="7" fillId="11" borderId="2" xfId="1" applyFont="1" applyFill="1" applyBorder="1" applyAlignment="1">
      <alignment horizontal="center" vertical="center" wrapText="1"/>
    </xf>
    <xf numFmtId="164" fontId="13" fillId="0" borderId="2" xfId="63" applyFont="1" applyFill="1" applyBorder="1" applyAlignment="1">
      <alignment horizontal="justify" vertical="center" wrapText="1"/>
    </xf>
    <xf numFmtId="2" fontId="7" fillId="0" borderId="2" xfId="97" applyNumberFormat="1" applyFont="1" applyFill="1" applyBorder="1" applyAlignment="1">
      <alignment horizontal="center" vertical="center" wrapText="1"/>
    </xf>
    <xf numFmtId="10" fontId="7" fillId="0" borderId="2" xfId="96" applyNumberFormat="1" applyFont="1" applyFill="1" applyBorder="1" applyAlignment="1">
      <alignment horizontal="justify" vertical="center" wrapText="1"/>
    </xf>
    <xf numFmtId="173" fontId="7" fillId="0" borderId="2" xfId="96" applyNumberFormat="1" applyFont="1" applyFill="1" applyBorder="1" applyAlignment="1">
      <alignment horizontal="justify" vertical="center" wrapText="1"/>
    </xf>
    <xf numFmtId="173" fontId="7" fillId="0" borderId="2" xfId="96" applyNumberFormat="1" applyFont="1" applyFill="1" applyBorder="1" applyAlignment="1">
      <alignment horizontal="center" vertical="center" wrapText="1"/>
    </xf>
    <xf numFmtId="0" fontId="2" fillId="0" borderId="2" xfId="1" applyBorder="1" applyAlignment="1">
      <alignment horizontal="justify" vertical="center" wrapText="1"/>
    </xf>
    <xf numFmtId="3" fontId="2" fillId="0" borderId="2" xfId="1" applyNumberFormat="1" applyBorder="1" applyAlignment="1">
      <alignment horizontal="center" vertical="center" wrapText="1"/>
    </xf>
    <xf numFmtId="0" fontId="2" fillId="0" borderId="2" xfId="1" applyBorder="1" applyAlignment="1">
      <alignment horizontal="justify" vertical="justify" wrapText="1"/>
    </xf>
    <xf numFmtId="0" fontId="7" fillId="13" borderId="2" xfId="1" applyFont="1" applyFill="1" applyBorder="1" applyAlignment="1">
      <alignment horizontal="center" vertical="center" wrapText="1"/>
    </xf>
    <xf numFmtId="0" fontId="14" fillId="0" borderId="2" xfId="1" applyFont="1" applyBorder="1" applyAlignment="1">
      <alignment horizontal="center" vertical="center" wrapText="1"/>
    </xf>
    <xf numFmtId="14" fontId="7" fillId="0" borderId="2" xfId="63" applyNumberFormat="1" applyFont="1" applyFill="1" applyBorder="1" applyAlignment="1">
      <alignment horizontal="justify" vertical="center" wrapText="1"/>
    </xf>
    <xf numFmtId="0" fontId="7" fillId="16" borderId="2" xfId="1" applyFont="1" applyFill="1" applyBorder="1" applyAlignment="1">
      <alignment horizontal="justify" vertical="center" wrapText="1"/>
    </xf>
    <xf numFmtId="0" fontId="16" fillId="0" borderId="2" xfId="1" applyFont="1" applyBorder="1" applyAlignment="1">
      <alignment horizontal="center" vertical="center" wrapText="1"/>
    </xf>
    <xf numFmtId="0" fontId="7" fillId="16" borderId="5" xfId="1" applyFont="1" applyFill="1" applyBorder="1" applyAlignment="1">
      <alignment horizontal="center" vertical="center" wrapText="1"/>
    </xf>
    <xf numFmtId="0" fontId="0" fillId="0" borderId="5" xfId="0" applyBorder="1" applyAlignment="1">
      <alignment horizontal="center" vertical="center" wrapText="1"/>
    </xf>
    <xf numFmtId="0" fontId="39" fillId="0" borderId="2" xfId="1" applyFont="1" applyBorder="1" applyAlignment="1">
      <alignment horizontal="justify" vertical="justify" wrapText="1"/>
    </xf>
    <xf numFmtId="0" fontId="7" fillId="16" borderId="5" xfId="1" applyFont="1" applyFill="1" applyBorder="1" applyAlignment="1">
      <alignment horizontal="justify" vertical="center" wrapText="1"/>
    </xf>
    <xf numFmtId="164" fontId="7" fillId="14" borderId="2" xfId="63" applyFont="1" applyFill="1" applyBorder="1" applyAlignment="1">
      <alignment horizontal="justify" vertical="center" wrapText="1"/>
    </xf>
    <xf numFmtId="164" fontId="7" fillId="0" borderId="2" xfId="63" applyFont="1" applyFill="1" applyBorder="1" applyAlignment="1">
      <alignment horizontal="center" vertical="center" wrapText="1"/>
    </xf>
    <xf numFmtId="0" fontId="8" fillId="0" borderId="0" xfId="53" applyAlignment="1">
      <alignment vertical="center" wrapText="1"/>
    </xf>
    <xf numFmtId="0" fontId="7" fillId="7" borderId="5" xfId="1" applyFont="1" applyFill="1" applyBorder="1" applyAlignment="1">
      <alignment horizontal="justify" vertical="center" wrapText="1"/>
    </xf>
    <xf numFmtId="164" fontId="0" fillId="7" borderId="5" xfId="0" applyNumberFormat="1" applyFill="1" applyBorder="1"/>
    <xf numFmtId="0" fontId="0" fillId="7" borderId="5" xfId="0" applyFill="1" applyBorder="1"/>
    <xf numFmtId="0" fontId="0" fillId="7" borderId="0" xfId="0" applyFill="1"/>
    <xf numFmtId="0" fontId="0" fillId="3" borderId="5" xfId="0" applyFill="1" applyBorder="1"/>
    <xf numFmtId="173" fontId="38" fillId="7" borderId="5" xfId="96" applyNumberFormat="1" applyFont="1" applyFill="1" applyBorder="1" applyAlignment="1">
      <alignment horizontal="justify" vertical="center" wrapText="1"/>
    </xf>
    <xf numFmtId="0" fontId="7" fillId="7" borderId="2" xfId="1" applyFont="1" applyFill="1" applyBorder="1" applyAlignment="1">
      <alignment horizontal="justify" vertical="center" wrapText="1"/>
    </xf>
    <xf numFmtId="164" fontId="0" fillId="7" borderId="2" xfId="0" applyNumberFormat="1" applyFill="1" applyBorder="1"/>
    <xf numFmtId="0" fontId="0" fillId="7" borderId="2" xfId="0" applyFill="1" applyBorder="1"/>
    <xf numFmtId="0" fontId="0" fillId="3" borderId="2" xfId="0" applyFill="1" applyBorder="1"/>
    <xf numFmtId="0" fontId="2" fillId="0" borderId="0" xfId="1" applyAlignment="1">
      <alignment horizontal="justify" vertical="center" wrapText="1"/>
    </xf>
    <xf numFmtId="0" fontId="2" fillId="7" borderId="2" xfId="1" applyFill="1" applyBorder="1" applyAlignment="1">
      <alignment horizontal="justify" vertical="center" wrapText="1"/>
    </xf>
    <xf numFmtId="0" fontId="7" fillId="7" borderId="3" xfId="1" applyFont="1" applyFill="1" applyBorder="1" applyAlignment="1">
      <alignment horizontal="justify" vertical="center" wrapText="1"/>
    </xf>
    <xf numFmtId="164" fontId="0" fillId="7" borderId="3" xfId="0" applyNumberFormat="1" applyFill="1" applyBorder="1"/>
    <xf numFmtId="0" fontId="0" fillId="7" borderId="3" xfId="0" applyFill="1" applyBorder="1"/>
    <xf numFmtId="0" fontId="13" fillId="8" borderId="9" xfId="1" applyFont="1" applyFill="1" applyBorder="1" applyAlignment="1">
      <alignment horizontal="right" vertical="center" wrapText="1"/>
    </xf>
    <xf numFmtId="0" fontId="13" fillId="0" borderId="9" xfId="1" applyFont="1" applyBorder="1" applyAlignment="1">
      <alignment horizontal="right" vertical="center" wrapText="1"/>
    </xf>
    <xf numFmtId="164" fontId="10" fillId="8" borderId="9" xfId="0" applyNumberFormat="1" applyFont="1" applyFill="1" applyBorder="1"/>
    <xf numFmtId="164" fontId="10" fillId="8" borderId="10" xfId="0" applyNumberFormat="1" applyFont="1" applyFill="1" applyBorder="1"/>
    <xf numFmtId="0" fontId="10" fillId="8" borderId="10" xfId="0" applyFont="1" applyFill="1" applyBorder="1"/>
    <xf numFmtId="0" fontId="10" fillId="8" borderId="11" xfId="0" applyFont="1" applyFill="1" applyBorder="1"/>
    <xf numFmtId="0" fontId="10" fillId="8" borderId="12" xfId="0" applyFont="1" applyFill="1" applyBorder="1"/>
    <xf numFmtId="0" fontId="10" fillId="8" borderId="9" xfId="0" applyFont="1" applyFill="1" applyBorder="1"/>
    <xf numFmtId="164" fontId="10" fillId="8" borderId="11" xfId="0" applyNumberFormat="1" applyFont="1" applyFill="1" applyBorder="1"/>
    <xf numFmtId="164" fontId="10" fillId="8" borderId="12" xfId="0" applyNumberFormat="1" applyFont="1" applyFill="1" applyBorder="1"/>
    <xf numFmtId="173" fontId="7" fillId="8" borderId="4" xfId="96" applyNumberFormat="1" applyFont="1" applyFill="1" applyBorder="1" applyAlignment="1">
      <alignment horizontal="justify" vertical="center" wrapText="1"/>
    </xf>
    <xf numFmtId="0" fontId="10" fillId="0" borderId="0" xfId="0" applyFont="1"/>
    <xf numFmtId="9" fontId="0" fillId="0" borderId="0" xfId="55" applyFont="1"/>
    <xf numFmtId="0" fontId="0" fillId="16" borderId="0" xfId="0" applyFill="1"/>
    <xf numFmtId="0" fontId="10" fillId="0" borderId="13" xfId="0" applyFont="1" applyBorder="1" applyAlignment="1">
      <alignment horizontal="center" vertical="center"/>
    </xf>
    <xf numFmtId="0" fontId="10" fillId="0" borderId="0" xfId="0" applyFont="1" applyAlignment="1">
      <alignment horizontal="center" vertical="center"/>
    </xf>
    <xf numFmtId="0" fontId="7" fillId="7" borderId="7" xfId="1" applyFont="1" applyFill="1" applyBorder="1" applyAlignment="1">
      <alignment horizontal="justify" vertical="center" wrapText="1"/>
    </xf>
    <xf numFmtId="173" fontId="0" fillId="0" borderId="14" xfId="0" applyNumberFormat="1" applyBorder="1"/>
    <xf numFmtId="9" fontId="0" fillId="0" borderId="0" xfId="55" applyFont="1" applyFill="1" applyBorder="1"/>
    <xf numFmtId="173" fontId="0" fillId="0" borderId="0" xfId="0" applyNumberFormat="1"/>
    <xf numFmtId="173" fontId="0" fillId="0" borderId="15" xfId="0" applyNumberFormat="1" applyBorder="1"/>
    <xf numFmtId="0" fontId="7" fillId="7" borderId="16" xfId="1" applyFont="1" applyFill="1" applyBorder="1" applyAlignment="1">
      <alignment horizontal="justify" vertical="center" wrapText="1"/>
    </xf>
    <xf numFmtId="173" fontId="0" fillId="0" borderId="17" xfId="0" applyNumberFormat="1" applyBorder="1"/>
    <xf numFmtId="0" fontId="13" fillId="8" borderId="13" xfId="1" applyFont="1" applyFill="1" applyBorder="1" applyAlignment="1">
      <alignment horizontal="justify" vertical="center" wrapText="1"/>
    </xf>
    <xf numFmtId="173" fontId="10" fillId="8" borderId="13" xfId="0" applyNumberFormat="1" applyFont="1" applyFill="1" applyBorder="1"/>
    <xf numFmtId="9" fontId="10" fillId="0" borderId="0" xfId="55" applyFont="1" applyFill="1" applyBorder="1"/>
    <xf numFmtId="173" fontId="10" fillId="0" borderId="0" xfId="0" applyNumberFormat="1" applyFont="1"/>
    <xf numFmtId="164" fontId="0" fillId="0" borderId="14" xfId="54" applyFont="1" applyBorder="1"/>
    <xf numFmtId="164" fontId="0" fillId="0" borderId="0" xfId="54" applyFont="1" applyFill="1" applyBorder="1"/>
    <xf numFmtId="164" fontId="10" fillId="8" borderId="14" xfId="54" applyFont="1" applyFill="1" applyBorder="1"/>
    <xf numFmtId="164" fontId="10" fillId="0" borderId="0" xfId="54" applyFont="1" applyFill="1" applyBorder="1"/>
    <xf numFmtId="0" fontId="13" fillId="0" borderId="5" xfId="1" applyFont="1" applyBorder="1" applyAlignment="1">
      <alignment horizontal="justify" vertical="center" wrapText="1"/>
    </xf>
    <xf numFmtId="0" fontId="28" fillId="0" borderId="5" xfId="1" applyFont="1" applyBorder="1" applyAlignment="1">
      <alignment horizontal="center" vertical="top" wrapText="1"/>
    </xf>
    <xf numFmtId="0" fontId="40" fillId="15" borderId="2" xfId="1" applyFont="1" applyFill="1" applyBorder="1" applyAlignment="1">
      <alignment horizontal="center" vertical="center" wrapText="1"/>
    </xf>
    <xf numFmtId="164" fontId="40" fillId="15" borderId="2" xfId="37" applyFont="1" applyFill="1" applyBorder="1" applyAlignment="1">
      <alignment horizontal="center" vertical="center" wrapText="1"/>
    </xf>
    <xf numFmtId="14" fontId="41" fillId="0" borderId="0" xfId="0" applyNumberFormat="1" applyFont="1" applyAlignment="1">
      <alignment horizontal="centerContinuous" vertical="center"/>
    </xf>
    <xf numFmtId="0" fontId="22" fillId="0" borderId="0" xfId="0" applyFont="1" applyAlignment="1">
      <alignment horizontal="center" vertical="center"/>
    </xf>
    <xf numFmtId="164" fontId="12" fillId="0" borderId="5" xfId="37" applyFont="1" applyFill="1" applyBorder="1" applyAlignment="1">
      <alignment horizontal="justify" vertical="center" wrapText="1"/>
    </xf>
    <xf numFmtId="14" fontId="12" fillId="0" borderId="2" xfId="1" applyNumberFormat="1" applyFont="1" applyBorder="1" applyAlignment="1">
      <alignment horizontal="center" vertical="center" wrapText="1"/>
    </xf>
    <xf numFmtId="0" fontId="42" fillId="0" borderId="2" xfId="1" applyFont="1" applyBorder="1" applyAlignment="1">
      <alignment horizontal="center" vertical="center" wrapText="1"/>
    </xf>
    <xf numFmtId="0" fontId="24" fillId="0" borderId="2" xfId="1" applyFont="1" applyBorder="1" applyAlignment="1">
      <alignment horizontal="center" vertical="center" wrapText="1"/>
    </xf>
    <xf numFmtId="14" fontId="24" fillId="0" borderId="5" xfId="1" applyNumberFormat="1" applyFont="1" applyBorder="1" applyAlignment="1">
      <alignment horizontal="center" vertical="center" wrapText="1"/>
    </xf>
    <xf numFmtId="2" fontId="14" fillId="0" borderId="5" xfId="97" applyNumberFormat="1" applyFont="1" applyFill="1" applyBorder="1" applyAlignment="1">
      <alignment horizontal="center" vertical="center" wrapText="1"/>
    </xf>
    <xf numFmtId="173" fontId="14" fillId="0" borderId="5" xfId="96" applyNumberFormat="1" applyFont="1" applyFill="1" applyBorder="1" applyAlignment="1">
      <alignment horizontal="center" vertical="center" wrapText="1"/>
    </xf>
    <xf numFmtId="0" fontId="8" fillId="16" borderId="20" xfId="53" applyFill="1" applyBorder="1" applyAlignment="1">
      <alignment vertical="center" wrapText="1"/>
    </xf>
    <xf numFmtId="0" fontId="8" fillId="16" borderId="19" xfId="53" applyFill="1" applyBorder="1" applyAlignment="1">
      <alignment vertical="center" wrapText="1"/>
    </xf>
    <xf numFmtId="164" fontId="27" fillId="16" borderId="5" xfId="37" applyFont="1" applyFill="1" applyBorder="1" applyAlignment="1">
      <alignment horizontal="justify" vertical="center" wrapText="1"/>
    </xf>
    <xf numFmtId="0" fontId="22" fillId="16" borderId="0" xfId="0" applyFont="1" applyFill="1"/>
    <xf numFmtId="173" fontId="12" fillId="0" borderId="2" xfId="96" applyNumberFormat="1" applyFont="1" applyFill="1" applyBorder="1" applyAlignment="1">
      <alignment horizontal="center" vertical="center" wrapText="1"/>
    </xf>
    <xf numFmtId="14" fontId="12" fillId="16" borderId="5" xfId="1" applyNumberFormat="1" applyFont="1" applyFill="1" applyBorder="1" applyAlignment="1">
      <alignment horizontal="justify" vertical="center" wrapText="1"/>
    </xf>
    <xf numFmtId="0" fontId="24" fillId="0" borderId="5" xfId="1" applyFont="1" applyBorder="1" applyAlignment="1">
      <alignment horizontal="justify" vertical="center" wrapText="1"/>
    </xf>
    <xf numFmtId="164" fontId="46" fillId="0" borderId="2" xfId="0" applyNumberFormat="1" applyFont="1" applyBorder="1"/>
    <xf numFmtId="0" fontId="46" fillId="0" borderId="0" xfId="0" applyFont="1"/>
    <xf numFmtId="164" fontId="46" fillId="0" borderId="0" xfId="0" applyNumberFormat="1" applyFont="1"/>
    <xf numFmtId="0" fontId="47" fillId="16" borderId="2" xfId="0" applyFont="1" applyFill="1" applyBorder="1" applyAlignment="1">
      <alignment vertical="center"/>
    </xf>
    <xf numFmtId="0" fontId="47" fillId="16" borderId="2" xfId="0" applyFont="1" applyFill="1" applyBorder="1" applyAlignment="1">
      <alignment horizontal="center"/>
    </xf>
    <xf numFmtId="164" fontId="47" fillId="16" borderId="2" xfId="0" applyNumberFormat="1" applyFont="1" applyFill="1" applyBorder="1" applyAlignment="1">
      <alignment vertical="center"/>
    </xf>
    <xf numFmtId="164" fontId="46" fillId="0" borderId="2" xfId="54" applyFont="1" applyBorder="1"/>
    <xf numFmtId="0" fontId="46" fillId="0" borderId="2" xfId="0" applyFont="1" applyBorder="1"/>
    <xf numFmtId="164" fontId="46" fillId="0" borderId="7" xfId="54" applyFont="1" applyBorder="1"/>
    <xf numFmtId="0" fontId="47" fillId="0" borderId="2" xfId="0" applyFont="1" applyBorder="1"/>
    <xf numFmtId="0" fontId="47" fillId="0" borderId="0" xfId="0" applyFont="1"/>
    <xf numFmtId="164" fontId="47" fillId="0" borderId="0" xfId="54" applyFont="1"/>
    <xf numFmtId="164" fontId="47" fillId="0" borderId="0" xfId="0" applyNumberFormat="1" applyFont="1"/>
    <xf numFmtId="164" fontId="47" fillId="16" borderId="2" xfId="0" applyNumberFormat="1" applyFont="1" applyFill="1" applyBorder="1"/>
    <xf numFmtId="0" fontId="47" fillId="18" borderId="2" xfId="0" applyFont="1" applyFill="1" applyBorder="1" applyAlignment="1">
      <alignment horizontal="center" vertical="center"/>
    </xf>
    <xf numFmtId="0" fontId="47" fillId="4" borderId="2" xfId="0" applyFont="1" applyFill="1" applyBorder="1" applyAlignment="1">
      <alignment horizontal="center" vertical="center"/>
    </xf>
    <xf numFmtId="164" fontId="46" fillId="0" borderId="0" xfId="54" applyFont="1"/>
    <xf numFmtId="0" fontId="46" fillId="16" borderId="2" xfId="0" applyFont="1" applyFill="1" applyBorder="1"/>
    <xf numFmtId="164" fontId="47" fillId="16" borderId="2" xfId="54" applyFont="1" applyFill="1" applyBorder="1"/>
    <xf numFmtId="164" fontId="46" fillId="16" borderId="2" xfId="54" applyFont="1" applyFill="1" applyBorder="1"/>
    <xf numFmtId="164" fontId="47" fillId="18" borderId="2" xfId="54" applyFont="1" applyFill="1" applyBorder="1" applyAlignment="1">
      <alignment horizontal="center" vertical="center"/>
    </xf>
    <xf numFmtId="164" fontId="47" fillId="4" borderId="2" xfId="54" applyFont="1" applyFill="1" applyBorder="1" applyAlignment="1">
      <alignment horizontal="center" vertical="center"/>
    </xf>
    <xf numFmtId="164" fontId="46" fillId="0" borderId="0" xfId="54" applyFont="1" applyFill="1" applyBorder="1"/>
    <xf numFmtId="164" fontId="46" fillId="0" borderId="0" xfId="54" applyFont="1" applyBorder="1"/>
    <xf numFmtId="0" fontId="47" fillId="19" borderId="2" xfId="0" applyFont="1" applyFill="1" applyBorder="1" applyAlignment="1">
      <alignment horizontal="center" vertical="center" wrapText="1"/>
    </xf>
    <xf numFmtId="0" fontId="47" fillId="19" borderId="2" xfId="0" applyFont="1" applyFill="1" applyBorder="1"/>
    <xf numFmtId="164" fontId="47" fillId="0" borderId="2" xfId="0" applyNumberFormat="1" applyFont="1" applyBorder="1"/>
    <xf numFmtId="164" fontId="47" fillId="0" borderId="2" xfId="54" applyFont="1" applyBorder="1"/>
    <xf numFmtId="164" fontId="47" fillId="0" borderId="2" xfId="54" applyFont="1" applyFill="1" applyBorder="1"/>
    <xf numFmtId="164" fontId="46" fillId="0" borderId="2" xfId="54" applyFont="1" applyFill="1" applyBorder="1"/>
    <xf numFmtId="14" fontId="12" fillId="0" borderId="5" xfId="37" applyNumberFormat="1" applyFont="1" applyFill="1" applyBorder="1" applyAlignment="1">
      <alignment horizontal="center" vertical="center" wrapText="1"/>
    </xf>
    <xf numFmtId="14" fontId="12" fillId="0" borderId="5" xfId="37" applyNumberFormat="1" applyFont="1" applyFill="1" applyBorder="1" applyAlignment="1">
      <alignment horizontal="justify" vertical="center" wrapText="1"/>
    </xf>
    <xf numFmtId="164" fontId="12" fillId="0" borderId="2" xfId="37" applyFont="1" applyFill="1" applyBorder="1" applyAlignment="1">
      <alignment horizontal="justify" vertical="center" wrapText="1"/>
    </xf>
    <xf numFmtId="14" fontId="22" fillId="0" borderId="2" xfId="40" applyNumberFormat="1" applyFont="1" applyBorder="1" applyAlignment="1">
      <alignment horizontal="center" vertical="center"/>
    </xf>
    <xf numFmtId="164" fontId="29" fillId="0" borderId="5" xfId="37" applyFont="1" applyFill="1" applyBorder="1" applyAlignment="1">
      <alignment horizontal="justify" vertical="center" wrapText="1"/>
    </xf>
    <xf numFmtId="14" fontId="22" fillId="0" borderId="5" xfId="40" applyNumberFormat="1" applyFont="1" applyBorder="1" applyAlignment="1">
      <alignment horizontal="center" vertical="center"/>
    </xf>
    <xf numFmtId="164" fontId="29" fillId="0" borderId="5" xfId="63" applyFont="1" applyFill="1" applyBorder="1" applyAlignment="1">
      <alignment horizontal="justify" vertical="center" wrapText="1"/>
    </xf>
    <xf numFmtId="164" fontId="12" fillId="16" borderId="5" xfId="37" applyFont="1" applyFill="1" applyBorder="1" applyAlignment="1">
      <alignment horizontal="justify" vertical="center" wrapText="1"/>
    </xf>
    <xf numFmtId="164" fontId="12" fillId="16" borderId="5" xfId="63" applyFont="1" applyFill="1" applyBorder="1" applyAlignment="1">
      <alignment horizontal="justify" vertical="center" wrapText="1"/>
    </xf>
    <xf numFmtId="14" fontId="22" fillId="16" borderId="5" xfId="40" applyNumberFormat="1" applyFont="1" applyFill="1" applyBorder="1" applyAlignment="1">
      <alignment horizontal="center" vertical="center"/>
    </xf>
    <xf numFmtId="164" fontId="29" fillId="16" borderId="5" xfId="63" applyFont="1" applyFill="1" applyBorder="1" applyAlignment="1">
      <alignment horizontal="justify" vertical="center" wrapText="1"/>
    </xf>
    <xf numFmtId="14" fontId="12" fillId="16" borderId="5" xfId="37" applyNumberFormat="1" applyFont="1" applyFill="1" applyBorder="1" applyAlignment="1">
      <alignment horizontal="justify" vertical="center" wrapText="1"/>
    </xf>
    <xf numFmtId="0" fontId="43" fillId="0" borderId="5" xfId="1" applyFont="1" applyBorder="1" applyAlignment="1">
      <alignment horizontal="center" vertical="center" wrapText="1"/>
    </xf>
    <xf numFmtId="2" fontId="2" fillId="0" borderId="2" xfId="97" applyNumberFormat="1" applyFont="1" applyFill="1" applyBorder="1" applyAlignment="1">
      <alignment horizontal="center" vertical="center" wrapText="1"/>
    </xf>
    <xf numFmtId="0" fontId="49" fillId="0" borderId="0" xfId="0" applyFont="1" applyAlignment="1">
      <alignment vertical="center"/>
    </xf>
    <xf numFmtId="164" fontId="50" fillId="0" borderId="2" xfId="37" applyFont="1" applyFill="1" applyBorder="1" applyAlignment="1">
      <alignment horizontal="justify" vertical="center" wrapText="1"/>
    </xf>
    <xf numFmtId="0" fontId="8" fillId="0" borderId="3" xfId="53" applyFill="1" applyBorder="1" applyAlignment="1">
      <alignment vertical="center" wrapText="1"/>
    </xf>
    <xf numFmtId="3" fontId="50" fillId="0" borderId="2" xfId="1" applyNumberFormat="1" applyFont="1" applyBorder="1" applyAlignment="1">
      <alignment horizontal="center" vertical="center" wrapText="1"/>
    </xf>
    <xf numFmtId="0" fontId="50" fillId="0" borderId="2" xfId="1" applyFont="1" applyBorder="1" applyAlignment="1">
      <alignment horizontal="justify" vertical="center" wrapText="1"/>
    </xf>
    <xf numFmtId="0" fontId="50" fillId="0" borderId="2" xfId="1" applyFont="1" applyBorder="1" applyAlignment="1">
      <alignment horizontal="center" vertical="center" wrapText="1"/>
    </xf>
    <xf numFmtId="14" fontId="50" fillId="0" borderId="2" xfId="1" applyNumberFormat="1" applyFont="1" applyBorder="1" applyAlignment="1">
      <alignment horizontal="justify" vertical="center" wrapText="1"/>
    </xf>
    <xf numFmtId="164" fontId="50" fillId="0" borderId="2" xfId="1" applyNumberFormat="1" applyFont="1" applyBorder="1" applyAlignment="1">
      <alignment horizontal="center" vertical="center" wrapText="1"/>
    </xf>
    <xf numFmtId="9" fontId="50" fillId="0" borderId="2" xfId="55" applyFont="1" applyFill="1" applyBorder="1" applyAlignment="1">
      <alignment horizontal="center" vertical="center" wrapText="1"/>
    </xf>
    <xf numFmtId="0" fontId="12" fillId="0" borderId="4" xfId="1" applyFont="1" applyBorder="1" applyAlignment="1">
      <alignment horizontal="justify" vertical="center" wrapText="1"/>
    </xf>
    <xf numFmtId="164" fontId="12" fillId="0" borderId="4" xfId="1" applyNumberFormat="1" applyFont="1" applyBorder="1" applyAlignment="1">
      <alignment horizontal="justify" vertical="center" wrapText="1"/>
    </xf>
    <xf numFmtId="164" fontId="51" fillId="15" borderId="2" xfId="37" applyFont="1" applyFill="1" applyBorder="1" applyAlignment="1">
      <alignment horizontal="center" vertical="center" wrapText="1"/>
    </xf>
    <xf numFmtId="0" fontId="32" fillId="0" borderId="2" xfId="1" applyFont="1" applyBorder="1" applyAlignment="1">
      <alignment horizontal="center" vertical="center" wrapText="1"/>
    </xf>
    <xf numFmtId="0" fontId="12" fillId="17" borderId="2" xfId="1" applyFont="1" applyFill="1" applyBorder="1" applyAlignment="1">
      <alignment vertical="center" wrapText="1"/>
    </xf>
    <xf numFmtId="0" fontId="24" fillId="0" borderId="4" xfId="1" applyFont="1" applyBorder="1" applyAlignment="1">
      <alignment horizontal="center" vertical="center" wrapText="1"/>
    </xf>
    <xf numFmtId="0" fontId="28" fillId="0" borderId="2" xfId="1" applyFont="1" applyBorder="1" applyAlignment="1">
      <alignment horizontal="center" vertical="center" wrapText="1"/>
    </xf>
    <xf numFmtId="3" fontId="24" fillId="0" borderId="5" xfId="1" applyNumberFormat="1" applyFont="1" applyBorder="1" applyAlignment="1">
      <alignment horizontal="center" vertical="top" wrapText="1"/>
    </xf>
    <xf numFmtId="0" fontId="29" fillId="0" borderId="0" xfId="1" applyFont="1" applyAlignment="1">
      <alignment horizontal="center" vertical="center" wrapText="1"/>
    </xf>
    <xf numFmtId="164" fontId="30" fillId="0" borderId="0" xfId="0" applyNumberFormat="1" applyFont="1" applyAlignment="1">
      <alignment horizontal="center" vertical="center"/>
    </xf>
    <xf numFmtId="0" fontId="24" fillId="0" borderId="0" xfId="1" applyFont="1" applyAlignment="1">
      <alignment horizontal="center" vertical="center" wrapText="1"/>
    </xf>
    <xf numFmtId="164" fontId="12" fillId="0" borderId="2" xfId="1" applyNumberFormat="1" applyFont="1" applyBorder="1" applyAlignment="1">
      <alignment horizontal="justify" vertical="center" wrapText="1"/>
    </xf>
    <xf numFmtId="0" fontId="30" fillId="7" borderId="19" xfId="0" applyFont="1" applyFill="1" applyBorder="1" applyAlignment="1">
      <alignment horizontal="center" vertical="center"/>
    </xf>
    <xf numFmtId="173" fontId="29" fillId="0" borderId="0" xfId="45" applyNumberFormat="1" applyFont="1" applyFill="1" applyBorder="1" applyAlignment="1">
      <alignment horizontal="center" vertical="center" wrapText="1"/>
    </xf>
    <xf numFmtId="10" fontId="12" fillId="0" borderId="20" xfId="45" applyNumberFormat="1" applyFont="1" applyFill="1" applyBorder="1" applyAlignment="1">
      <alignment horizontal="justify" vertical="center" wrapText="1"/>
    </xf>
    <xf numFmtId="173" fontId="29" fillId="6" borderId="2" xfId="45" applyNumberFormat="1" applyFont="1" applyFill="1" applyBorder="1" applyAlignment="1">
      <alignment horizontal="center" vertical="center" wrapText="1"/>
    </xf>
    <xf numFmtId="0" fontId="30" fillId="6" borderId="5" xfId="0" applyFont="1" applyFill="1" applyBorder="1" applyAlignment="1">
      <alignment horizontal="center" vertical="center"/>
    </xf>
    <xf numFmtId="164" fontId="30" fillId="6" borderId="5" xfId="0" applyNumberFormat="1" applyFont="1" applyFill="1" applyBorder="1" applyAlignment="1">
      <alignment horizontal="center" vertical="center"/>
    </xf>
    <xf numFmtId="44" fontId="46" fillId="0" borderId="0" xfId="0" applyNumberFormat="1" applyFont="1"/>
    <xf numFmtId="0" fontId="12" fillId="0" borderId="3" xfId="1" applyFont="1" applyBorder="1" applyAlignment="1">
      <alignment horizontal="center" vertical="center" wrapText="1"/>
    </xf>
    <xf numFmtId="0" fontId="12" fillId="0" borderId="4" xfId="1" applyFont="1" applyBorder="1" applyAlignment="1">
      <alignment horizontal="center" vertical="center" wrapText="1"/>
    </xf>
    <xf numFmtId="0" fontId="8" fillId="0" borderId="7" xfId="53" applyFill="1" applyBorder="1" applyAlignment="1">
      <alignment vertical="center" wrapText="1"/>
    </xf>
    <xf numFmtId="0" fontId="26" fillId="0" borderId="5" xfId="53" applyFont="1" applyFill="1" applyBorder="1" applyAlignment="1">
      <alignment vertical="center" wrapText="1"/>
    </xf>
    <xf numFmtId="0" fontId="8" fillId="0" borderId="16" xfId="53" applyFill="1" applyBorder="1" applyAlignment="1">
      <alignment vertical="center" wrapText="1"/>
    </xf>
    <xf numFmtId="0" fontId="26" fillId="0" borderId="2" xfId="53" applyFont="1" applyFill="1" applyBorder="1" applyAlignment="1">
      <alignment vertical="center" wrapText="1"/>
    </xf>
    <xf numFmtId="164" fontId="12" fillId="0" borderId="3" xfId="1" applyNumberFormat="1" applyFont="1" applyBorder="1" applyAlignment="1">
      <alignment vertical="center" wrapText="1"/>
    </xf>
    <xf numFmtId="164" fontId="12" fillId="0" borderId="2" xfId="1" applyNumberFormat="1" applyFont="1" applyBorder="1" applyAlignment="1">
      <alignment vertical="center" wrapText="1"/>
    </xf>
    <xf numFmtId="0" fontId="26" fillId="0" borderId="4" xfId="53" applyFont="1" applyFill="1" applyBorder="1" applyAlignment="1">
      <alignment horizontal="justify" vertical="center" wrapText="1"/>
    </xf>
    <xf numFmtId="0" fontId="24" fillId="0" borderId="3" xfId="1" applyFont="1" applyBorder="1" applyAlignment="1">
      <alignment horizontal="center" vertical="center" wrapText="1"/>
    </xf>
    <xf numFmtId="0" fontId="26" fillId="0" borderId="3" xfId="53" applyFont="1" applyFill="1" applyBorder="1" applyAlignment="1">
      <alignment horizontal="justify" vertical="center" wrapText="1"/>
    </xf>
    <xf numFmtId="0" fontId="12" fillId="0" borderId="3" xfId="1" applyFont="1" applyBorder="1" applyAlignment="1">
      <alignment horizontal="justify" vertical="center" wrapText="1"/>
    </xf>
    <xf numFmtId="173" fontId="29" fillId="7" borderId="5" xfId="45" applyNumberFormat="1" applyFont="1" applyFill="1" applyBorder="1" applyAlignment="1">
      <alignment horizontal="center" vertical="center" wrapText="1"/>
    </xf>
    <xf numFmtId="164" fontId="27" fillId="0" borderId="2" xfId="37" applyFont="1" applyFill="1" applyBorder="1" applyAlignment="1">
      <alignment horizontal="justify" vertical="center" wrapText="1"/>
    </xf>
    <xf numFmtId="0" fontId="8" fillId="0" borderId="3" xfId="53" applyFill="1" applyBorder="1" applyAlignment="1">
      <alignment horizontal="justify" vertical="center" wrapText="1"/>
    </xf>
    <xf numFmtId="3" fontId="24" fillId="0" borderId="5" xfId="1" applyNumberFormat="1" applyFont="1" applyBorder="1" applyAlignment="1">
      <alignment horizontal="center" vertical="center" wrapText="1"/>
    </xf>
    <xf numFmtId="3" fontId="16" fillId="0" borderId="2" xfId="1" applyNumberFormat="1" applyFont="1" applyBorder="1" applyAlignment="1">
      <alignment horizontal="center" vertical="center" wrapText="1"/>
    </xf>
    <xf numFmtId="0" fontId="12" fillId="6" borderId="5" xfId="1" applyFont="1" applyFill="1" applyBorder="1" applyAlignment="1">
      <alignment horizontal="center" vertical="center" wrapText="1"/>
    </xf>
    <xf numFmtId="164" fontId="12" fillId="0" borderId="2" xfId="63" applyFont="1" applyFill="1" applyBorder="1" applyAlignment="1">
      <alignment horizontal="justify" vertical="center" wrapText="1"/>
    </xf>
    <xf numFmtId="14" fontId="12" fillId="0" borderId="2" xfId="37" applyNumberFormat="1" applyFont="1" applyFill="1" applyBorder="1" applyAlignment="1">
      <alignment horizontal="justify" vertical="center" wrapText="1"/>
    </xf>
    <xf numFmtId="14" fontId="12" fillId="0" borderId="2" xfId="1" applyNumberFormat="1" applyFont="1" applyBorder="1" applyAlignment="1">
      <alignment horizontal="justify" vertical="center" wrapText="1"/>
    </xf>
    <xf numFmtId="164" fontId="12" fillId="20" borderId="3" xfId="1" applyNumberFormat="1" applyFont="1" applyFill="1" applyBorder="1" applyAlignment="1">
      <alignment horizontal="justify" vertical="center" wrapText="1"/>
    </xf>
    <xf numFmtId="14" fontId="22" fillId="0" borderId="5" xfId="40" applyNumberFormat="1" applyFont="1" applyBorder="1" applyAlignment="1">
      <alignment horizontal="center" vertical="center" wrapText="1"/>
    </xf>
    <xf numFmtId="174" fontId="24" fillId="12" borderId="2" xfId="0" applyNumberFormat="1" applyFont="1" applyFill="1" applyBorder="1" applyAlignment="1">
      <alignment horizontal="center" vertical="center"/>
    </xf>
    <xf numFmtId="14" fontId="12" fillId="0" borderId="2" xfId="0" applyNumberFormat="1" applyFont="1" applyBorder="1" applyAlignment="1">
      <alignment horizontal="center" vertical="center"/>
    </xf>
    <xf numFmtId="175" fontId="7" fillId="0" borderId="5" xfId="97" applyNumberFormat="1" applyFont="1" applyFill="1" applyBorder="1" applyAlignment="1">
      <alignment horizontal="center" vertical="center" wrapText="1"/>
    </xf>
    <xf numFmtId="0" fontId="24" fillId="0" borderId="2" xfId="1" applyFont="1" applyBorder="1" applyAlignment="1">
      <alignment vertical="center" wrapText="1"/>
    </xf>
    <xf numFmtId="0" fontId="33" fillId="0" borderId="2" xfId="1" applyFont="1" applyBorder="1" applyAlignment="1">
      <alignment horizontal="center" vertical="center" wrapText="1"/>
    </xf>
    <xf numFmtId="0" fontId="28" fillId="0" borderId="5" xfId="1" applyFont="1" applyBorder="1" applyAlignment="1">
      <alignment horizontal="justify" vertical="center" wrapText="1"/>
    </xf>
    <xf numFmtId="0" fontId="27" fillId="0" borderId="3" xfId="1" applyFont="1" applyBorder="1" applyAlignment="1">
      <alignment horizontal="justify" vertical="center" wrapText="1"/>
    </xf>
    <xf numFmtId="14" fontId="27" fillId="0" borderId="3" xfId="1" applyNumberFormat="1" applyFont="1" applyBorder="1" applyAlignment="1">
      <alignment horizontal="justify" vertical="center" wrapText="1"/>
    </xf>
    <xf numFmtId="14" fontId="27" fillId="0" borderId="3" xfId="1" applyNumberFormat="1" applyFont="1" applyBorder="1" applyAlignment="1">
      <alignment horizontal="center" vertical="center" wrapText="1"/>
    </xf>
    <xf numFmtId="164" fontId="27" fillId="0" borderId="3" xfId="37" applyFont="1" applyFill="1" applyBorder="1" applyAlignment="1">
      <alignment horizontal="justify" vertical="center" wrapText="1"/>
    </xf>
    <xf numFmtId="164" fontId="12" fillId="0" borderId="3" xfId="37" applyFont="1" applyFill="1" applyBorder="1" applyAlignment="1">
      <alignment horizontal="justify" vertical="center" wrapText="1"/>
    </xf>
    <xf numFmtId="164" fontId="12" fillId="0" borderId="3" xfId="63" applyFont="1" applyFill="1" applyBorder="1" applyAlignment="1">
      <alignment horizontal="justify" vertical="center" wrapText="1"/>
    </xf>
    <xf numFmtId="14" fontId="12" fillId="0" borderId="3" xfId="37" applyNumberFormat="1" applyFont="1" applyFill="1" applyBorder="1" applyAlignment="1">
      <alignment horizontal="justify" vertical="center" wrapText="1"/>
    </xf>
    <xf numFmtId="14" fontId="12" fillId="0" borderId="3" xfId="1" applyNumberFormat="1" applyFont="1" applyBorder="1" applyAlignment="1">
      <alignment horizontal="justify" vertical="center" wrapText="1"/>
    </xf>
    <xf numFmtId="164" fontId="12" fillId="0" borderId="3" xfId="1" applyNumberFormat="1" applyFont="1" applyBorder="1" applyAlignment="1">
      <alignment horizontal="justify" vertical="center" wrapText="1"/>
    </xf>
    <xf numFmtId="3" fontId="12" fillId="0" borderId="3" xfId="1" applyNumberFormat="1" applyFont="1" applyBorder="1" applyAlignment="1">
      <alignment horizontal="center" vertical="center" wrapText="1"/>
    </xf>
    <xf numFmtId="0" fontId="28" fillId="0" borderId="3" xfId="1" applyFont="1" applyBorder="1" applyAlignment="1">
      <alignment horizontal="center" vertical="center" wrapText="1"/>
    </xf>
    <xf numFmtId="164" fontId="12" fillId="21" borderId="3" xfId="1" applyNumberFormat="1" applyFont="1" applyFill="1" applyBorder="1" applyAlignment="1">
      <alignment horizontal="justify" vertical="center" wrapText="1"/>
    </xf>
    <xf numFmtId="9" fontId="12" fillId="0" borderId="5" xfId="55" applyFont="1" applyFill="1" applyBorder="1" applyAlignment="1">
      <alignment horizontal="center" vertical="center" wrapText="1"/>
    </xf>
    <xf numFmtId="10" fontId="12" fillId="0" borderId="5" xfId="55" applyNumberFormat="1" applyFont="1" applyFill="1" applyBorder="1" applyAlignment="1">
      <alignment horizontal="center" vertical="center" wrapText="1"/>
    </xf>
    <xf numFmtId="164" fontId="51" fillId="6" borderId="2" xfId="37" applyFont="1" applyFill="1" applyBorder="1" applyAlignment="1">
      <alignment horizontal="center" vertical="center" wrapText="1"/>
    </xf>
    <xf numFmtId="164" fontId="29" fillId="16" borderId="5" xfId="37" applyFont="1" applyFill="1" applyBorder="1" applyAlignment="1">
      <alignment horizontal="justify" vertical="center" wrapText="1"/>
    </xf>
    <xf numFmtId="164" fontId="12" fillId="13" borderId="2" xfId="1" applyNumberFormat="1" applyFont="1" applyFill="1" applyBorder="1" applyAlignment="1">
      <alignment horizontal="justify" vertical="center" wrapText="1"/>
    </xf>
    <xf numFmtId="10" fontId="12" fillId="0" borderId="5" xfId="45" applyNumberFormat="1" applyFont="1" applyFill="1" applyBorder="1" applyAlignment="1">
      <alignment horizontal="justify" vertical="center" wrapText="1"/>
    </xf>
    <xf numFmtId="173" fontId="12" fillId="0" borderId="5" xfId="96" applyNumberFormat="1" applyFont="1" applyFill="1" applyBorder="1" applyAlignment="1">
      <alignment horizontal="justify" vertical="center" wrapText="1"/>
    </xf>
    <xf numFmtId="173" fontId="12" fillId="0" borderId="5" xfId="45" applyNumberFormat="1" applyFont="1" applyFill="1" applyBorder="1" applyAlignment="1">
      <alignment horizontal="center" vertical="center" wrapText="1"/>
    </xf>
    <xf numFmtId="9" fontId="12" fillId="16" borderId="5" xfId="55" applyFont="1" applyFill="1" applyBorder="1" applyAlignment="1">
      <alignment horizontal="center" vertical="center" wrapText="1"/>
    </xf>
    <xf numFmtId="173" fontId="12" fillId="16" borderId="5" xfId="45" applyNumberFormat="1" applyFont="1" applyFill="1" applyBorder="1" applyAlignment="1">
      <alignment horizontal="center" vertical="center" wrapText="1"/>
    </xf>
    <xf numFmtId="0" fontId="12" fillId="16" borderId="5" xfId="55" applyNumberFormat="1" applyFont="1" applyFill="1" applyBorder="1" applyAlignment="1">
      <alignment horizontal="center" vertical="center" wrapText="1"/>
    </xf>
    <xf numFmtId="10" fontId="12" fillId="16" borderId="5" xfId="55" applyNumberFormat="1" applyFont="1" applyFill="1" applyBorder="1" applyAlignment="1">
      <alignment horizontal="center" vertical="center" wrapText="1"/>
    </xf>
    <xf numFmtId="0" fontId="12" fillId="0" borderId="5" xfId="55" applyNumberFormat="1" applyFont="1" applyFill="1" applyBorder="1" applyAlignment="1">
      <alignment horizontal="center" vertical="center" wrapText="1"/>
    </xf>
    <xf numFmtId="173" fontId="12" fillId="0" borderId="2" xfId="45" applyNumberFormat="1" applyFont="1" applyFill="1" applyBorder="1" applyAlignment="1">
      <alignment horizontal="center" vertical="center" wrapText="1"/>
    </xf>
    <xf numFmtId="9" fontId="12" fillId="0" borderId="2" xfId="55" applyFont="1" applyFill="1" applyBorder="1" applyAlignment="1">
      <alignment horizontal="center" vertical="center" wrapText="1"/>
    </xf>
    <xf numFmtId="10" fontId="12" fillId="0" borderId="2" xfId="45" applyNumberFormat="1" applyFont="1" applyFill="1" applyBorder="1" applyAlignment="1">
      <alignment horizontal="justify" vertical="center" wrapText="1"/>
    </xf>
    <xf numFmtId="10" fontId="12" fillId="0" borderId="3" xfId="45" applyNumberFormat="1" applyFont="1" applyFill="1" applyBorder="1" applyAlignment="1">
      <alignment horizontal="justify" vertical="center" wrapText="1"/>
    </xf>
    <xf numFmtId="173" fontId="12" fillId="0" borderId="3" xfId="45" applyNumberFormat="1" applyFont="1" applyFill="1" applyBorder="1" applyAlignment="1">
      <alignment horizontal="center" vertical="center" wrapText="1"/>
    </xf>
    <xf numFmtId="173" fontId="12" fillId="0" borderId="5" xfId="55" applyNumberFormat="1" applyFont="1" applyFill="1" applyBorder="1" applyAlignment="1">
      <alignment horizontal="center" vertical="center" wrapText="1"/>
    </xf>
    <xf numFmtId="10" fontId="12" fillId="0" borderId="2" xfId="55" applyNumberFormat="1" applyFont="1" applyFill="1" applyBorder="1" applyAlignment="1">
      <alignment horizontal="center" vertical="center" wrapText="1"/>
    </xf>
    <xf numFmtId="0" fontId="12" fillId="5" borderId="2" xfId="1" applyFont="1" applyFill="1" applyBorder="1" applyAlignment="1">
      <alignment horizontal="center" vertical="center" wrapText="1"/>
    </xf>
    <xf numFmtId="164" fontId="12" fillId="6" borderId="5" xfId="37" applyFont="1" applyFill="1" applyBorder="1" applyAlignment="1">
      <alignment horizontal="justify" vertical="center" wrapText="1"/>
    </xf>
    <xf numFmtId="0" fontId="29" fillId="0" borderId="5" xfId="1" applyFont="1" applyBorder="1" applyAlignment="1">
      <alignment horizontal="justify" vertical="center" wrapText="1"/>
    </xf>
    <xf numFmtId="164" fontId="12" fillId="0" borderId="2" xfId="1" applyNumberFormat="1" applyFont="1" applyBorder="1" applyAlignment="1">
      <alignment horizontal="center" vertical="center" wrapText="1"/>
    </xf>
    <xf numFmtId="164" fontId="28" fillId="0" borderId="5" xfId="37" applyFont="1" applyFill="1" applyBorder="1" applyAlignment="1">
      <alignment horizontal="justify" vertical="center" wrapText="1"/>
    </xf>
    <xf numFmtId="0" fontId="27" fillId="0" borderId="4" xfId="1" applyFont="1" applyBorder="1" applyAlignment="1">
      <alignment horizontal="justify" vertical="center" wrapText="1"/>
    </xf>
    <xf numFmtId="14" fontId="27" fillId="0" borderId="4" xfId="1" applyNumberFormat="1" applyFont="1" applyBorder="1" applyAlignment="1">
      <alignment horizontal="justify" vertical="center" wrapText="1"/>
    </xf>
    <xf numFmtId="14" fontId="27" fillId="0" borderId="4" xfId="1" applyNumberFormat="1" applyFont="1" applyBorder="1" applyAlignment="1">
      <alignment horizontal="center" vertical="center" wrapText="1"/>
    </xf>
    <xf numFmtId="164" fontId="27" fillId="0" borderId="4" xfId="37" applyFont="1" applyFill="1" applyBorder="1" applyAlignment="1">
      <alignment horizontal="justify" vertical="center" wrapText="1"/>
    </xf>
    <xf numFmtId="164" fontId="12" fillId="0" borderId="4" xfId="37" applyFont="1" applyFill="1" applyBorder="1" applyAlignment="1">
      <alignment horizontal="justify" vertical="center" wrapText="1"/>
    </xf>
    <xf numFmtId="164" fontId="12" fillId="0" borderId="4" xfId="63" applyFont="1" applyFill="1" applyBorder="1" applyAlignment="1">
      <alignment horizontal="justify" vertical="center" wrapText="1"/>
    </xf>
    <xf numFmtId="14" fontId="12" fillId="0" borderId="3" xfId="0" applyNumberFormat="1" applyFont="1" applyBorder="1" applyAlignment="1">
      <alignment horizontal="center" vertical="center"/>
    </xf>
    <xf numFmtId="14" fontId="22" fillId="0" borderId="4" xfId="40" applyNumberFormat="1" applyFont="1" applyBorder="1" applyAlignment="1">
      <alignment horizontal="center" vertical="center"/>
    </xf>
    <xf numFmtId="164" fontId="29" fillId="0" borderId="4" xfId="63" applyFont="1" applyFill="1" applyBorder="1" applyAlignment="1">
      <alignment horizontal="justify" vertical="center" wrapText="1"/>
    </xf>
    <xf numFmtId="14" fontId="12" fillId="0" borderId="4" xfId="37" applyNumberFormat="1" applyFont="1" applyFill="1" applyBorder="1" applyAlignment="1">
      <alignment horizontal="justify" vertical="center" wrapText="1"/>
    </xf>
    <xf numFmtId="14" fontId="12" fillId="0" borderId="4" xfId="1" applyNumberFormat="1" applyFont="1" applyBorder="1" applyAlignment="1">
      <alignment horizontal="justify" vertical="center" wrapText="1"/>
    </xf>
    <xf numFmtId="10" fontId="12" fillId="0" borderId="4" xfId="45" applyNumberFormat="1" applyFont="1" applyFill="1" applyBorder="1" applyAlignment="1">
      <alignment horizontal="justify" vertical="center" wrapText="1"/>
    </xf>
    <xf numFmtId="164" fontId="29" fillId="0" borderId="2" xfId="63" applyFont="1" applyFill="1" applyBorder="1" applyAlignment="1">
      <alignment horizontal="justify" vertical="center" wrapText="1"/>
    </xf>
    <xf numFmtId="173" fontId="12" fillId="0" borderId="2" xfId="96" applyNumberFormat="1" applyFont="1" applyFill="1" applyBorder="1" applyAlignment="1">
      <alignment horizontal="justify" vertical="center" wrapText="1"/>
    </xf>
    <xf numFmtId="0" fontId="12" fillId="22" borderId="2" xfId="1" applyFont="1" applyFill="1" applyBorder="1" applyAlignment="1">
      <alignment horizontal="justify" vertical="center" wrapText="1"/>
    </xf>
    <xf numFmtId="0" fontId="24" fillId="16" borderId="2" xfId="1" applyFont="1" applyFill="1" applyBorder="1" applyAlignment="1">
      <alignment horizontal="center" vertical="center" wrapText="1"/>
    </xf>
    <xf numFmtId="0" fontId="8" fillId="16" borderId="16" xfId="53" applyFill="1" applyBorder="1" applyAlignment="1">
      <alignment vertical="center" wrapText="1"/>
    </xf>
    <xf numFmtId="0" fontId="12" fillId="16" borderId="3" xfId="1" applyFont="1" applyFill="1" applyBorder="1" applyAlignment="1">
      <alignment horizontal="center" vertical="center" wrapText="1"/>
    </xf>
    <xf numFmtId="164" fontId="12" fillId="16" borderId="3" xfId="1" applyNumberFormat="1" applyFont="1" applyFill="1" applyBorder="1" applyAlignment="1">
      <alignment horizontal="justify" vertical="center" wrapText="1"/>
    </xf>
    <xf numFmtId="14" fontId="12" fillId="16" borderId="2" xfId="0" applyNumberFormat="1" applyFont="1" applyFill="1" applyBorder="1" applyAlignment="1">
      <alignment horizontal="center" vertical="center"/>
    </xf>
    <xf numFmtId="14" fontId="22" fillId="16" borderId="2" xfId="40" applyNumberFormat="1" applyFont="1" applyFill="1" applyBorder="1" applyAlignment="1">
      <alignment horizontal="center" vertical="center"/>
    </xf>
    <xf numFmtId="164" fontId="12" fillId="16" borderId="2" xfId="37" applyFont="1" applyFill="1" applyBorder="1" applyAlignment="1">
      <alignment horizontal="justify" vertical="center" wrapText="1"/>
    </xf>
    <xf numFmtId="10" fontId="12" fillId="16" borderId="5" xfId="45" applyNumberFormat="1" applyFont="1" applyFill="1" applyBorder="1" applyAlignment="1">
      <alignment horizontal="justify" vertical="center" wrapText="1"/>
    </xf>
    <xf numFmtId="173" fontId="12" fillId="16" borderId="5" xfId="96" applyNumberFormat="1" applyFont="1" applyFill="1" applyBorder="1" applyAlignment="1">
      <alignment horizontal="justify" vertical="center" wrapText="1"/>
    </xf>
    <xf numFmtId="44" fontId="26" fillId="0" borderId="2" xfId="53" applyNumberFormat="1" applyFont="1" applyFill="1" applyBorder="1" applyAlignment="1">
      <alignment horizontal="justify" vertical="center" wrapText="1"/>
    </xf>
    <xf numFmtId="44" fontId="26" fillId="0" borderId="3" xfId="53" applyNumberFormat="1" applyFont="1" applyFill="1" applyBorder="1" applyAlignment="1">
      <alignment horizontal="justify" vertical="center" wrapText="1"/>
    </xf>
    <xf numFmtId="164" fontId="12" fillId="24" borderId="5" xfId="37" applyFont="1" applyFill="1" applyBorder="1" applyAlignment="1">
      <alignment horizontal="justify" vertical="center" wrapText="1"/>
    </xf>
    <xf numFmtId="164" fontId="12" fillId="23" borderId="5" xfId="37" applyFont="1" applyFill="1" applyBorder="1" applyAlignment="1">
      <alignment horizontal="justify" vertical="center" wrapText="1"/>
    </xf>
    <xf numFmtId="2" fontId="53" fillId="0" borderId="5" xfId="97" applyNumberFormat="1" applyFont="1" applyFill="1" applyBorder="1" applyAlignment="1">
      <alignment horizontal="center" vertical="center" wrapText="1"/>
    </xf>
    <xf numFmtId="164" fontId="12" fillId="0" borderId="3" xfId="1" applyNumberFormat="1" applyFont="1" applyBorder="1" applyAlignment="1">
      <alignment horizontal="center" vertical="center" wrapText="1"/>
    </xf>
    <xf numFmtId="0" fontId="26" fillId="16" borderId="3" xfId="53" applyFont="1" applyFill="1" applyBorder="1" applyAlignment="1">
      <alignment horizontal="justify" vertical="center" wrapText="1"/>
    </xf>
    <xf numFmtId="0" fontId="26" fillId="0" borderId="3" xfId="53" applyFont="1" applyFill="1" applyBorder="1" applyAlignment="1">
      <alignment vertical="center" wrapText="1"/>
    </xf>
    <xf numFmtId="0" fontId="26" fillId="0" borderId="4" xfId="53" applyFont="1" applyFill="1" applyBorder="1" applyAlignment="1">
      <alignment vertical="center" wrapText="1"/>
    </xf>
    <xf numFmtId="0" fontId="24" fillId="5" borderId="2" xfId="1" applyFont="1" applyFill="1" applyBorder="1" applyAlignment="1">
      <alignment horizontal="center" vertical="center" wrapText="1"/>
    </xf>
    <xf numFmtId="164" fontId="12" fillId="5" borderId="5" xfId="63" applyFont="1" applyFill="1" applyBorder="1" applyAlignment="1">
      <alignment horizontal="justify" vertical="center" wrapText="1"/>
    </xf>
    <xf numFmtId="164" fontId="29" fillId="5" borderId="5" xfId="63" applyFont="1" applyFill="1" applyBorder="1" applyAlignment="1">
      <alignment horizontal="justify" vertical="center" wrapText="1"/>
    </xf>
    <xf numFmtId="164" fontId="12" fillId="5" borderId="5" xfId="37" applyFont="1" applyFill="1" applyBorder="1" applyAlignment="1">
      <alignment horizontal="justify" vertical="center" wrapText="1"/>
    </xf>
    <xf numFmtId="0" fontId="48" fillId="0" borderId="5" xfId="1" applyFont="1" applyBorder="1" applyAlignment="1">
      <alignment horizontal="center" vertical="center" wrapText="1"/>
    </xf>
    <xf numFmtId="0" fontId="31" fillId="0" borderId="4" xfId="1" applyFont="1" applyBorder="1" applyAlignment="1">
      <alignment horizontal="center" vertical="center" wrapText="1"/>
    </xf>
    <xf numFmtId="0" fontId="31" fillId="0" borderId="2" xfId="1" applyFont="1" applyBorder="1" applyAlignment="1">
      <alignment horizontal="center" vertical="center" wrapText="1"/>
    </xf>
    <xf numFmtId="0" fontId="31" fillId="16" borderId="5" xfId="1" applyFont="1" applyFill="1" applyBorder="1" applyAlignment="1">
      <alignment horizontal="center" vertical="center" wrapText="1"/>
    </xf>
    <xf numFmtId="0" fontId="8" fillId="16" borderId="2" xfId="53" applyFill="1" applyBorder="1" applyAlignment="1">
      <alignment vertical="center" wrapText="1"/>
    </xf>
    <xf numFmtId="0" fontId="8" fillId="16" borderId="5" xfId="53" applyFill="1" applyBorder="1" applyAlignment="1">
      <alignment horizontal="justify" vertical="center" wrapText="1"/>
    </xf>
    <xf numFmtId="0" fontId="12" fillId="16" borderId="5" xfId="1" applyFont="1" applyFill="1" applyBorder="1" applyAlignment="1">
      <alignment vertical="center" wrapText="1"/>
    </xf>
    <xf numFmtId="14" fontId="12" fillId="16" borderId="4" xfId="0" applyNumberFormat="1" applyFont="1" applyFill="1" applyBorder="1" applyAlignment="1">
      <alignment horizontal="center" vertical="center"/>
    </xf>
    <xf numFmtId="0" fontId="28" fillId="16" borderId="5" xfId="1" applyFont="1" applyFill="1" applyBorder="1" applyAlignment="1">
      <alignment horizontal="center" vertical="center" wrapText="1"/>
    </xf>
    <xf numFmtId="0" fontId="32" fillId="0" borderId="3" xfId="1" applyFont="1" applyBorder="1" applyAlignment="1">
      <alignment horizontal="justify" vertical="center" wrapText="1"/>
    </xf>
    <xf numFmtId="173" fontId="12" fillId="5" borderId="2" xfId="45" applyNumberFormat="1" applyFont="1" applyFill="1" applyBorder="1" applyAlignment="1">
      <alignment horizontal="center" vertical="center" wrapText="1"/>
    </xf>
    <xf numFmtId="9" fontId="12" fillId="0" borderId="3" xfId="55" applyFont="1" applyFill="1" applyBorder="1" applyAlignment="1">
      <alignment horizontal="center" vertical="center" wrapText="1"/>
    </xf>
    <xf numFmtId="10" fontId="12" fillId="5" borderId="2" xfId="55" applyNumberFormat="1" applyFont="1" applyFill="1" applyBorder="1" applyAlignment="1">
      <alignment horizontal="center" vertical="center" wrapText="1"/>
    </xf>
    <xf numFmtId="9" fontId="12" fillId="5" borderId="2" xfId="55" applyFont="1" applyFill="1" applyBorder="1" applyAlignment="1">
      <alignment horizontal="center" vertical="center" wrapText="1"/>
    </xf>
    <xf numFmtId="14" fontId="12" fillId="0" borderId="22" xfId="0" applyNumberFormat="1" applyFont="1" applyBorder="1" applyAlignment="1">
      <alignment horizontal="center" vertical="center"/>
    </xf>
    <xf numFmtId="10" fontId="28" fillId="0" borderId="2" xfId="55" applyNumberFormat="1" applyFont="1" applyFill="1" applyBorder="1" applyAlignment="1">
      <alignment horizontal="center" vertical="center" wrapText="1"/>
    </xf>
    <xf numFmtId="173" fontId="24" fillId="0" borderId="2" xfId="45" applyNumberFormat="1" applyFont="1" applyFill="1" applyBorder="1" applyAlignment="1">
      <alignment horizontal="center" vertical="center" wrapText="1"/>
    </xf>
    <xf numFmtId="14" fontId="12" fillId="0" borderId="2" xfId="37" applyNumberFormat="1" applyFont="1" applyFill="1" applyBorder="1" applyAlignment="1">
      <alignment horizontal="center" vertical="center" wrapText="1"/>
    </xf>
    <xf numFmtId="164" fontId="24" fillId="0" borderId="2" xfId="63" applyFont="1" applyFill="1" applyBorder="1" applyAlignment="1">
      <alignment horizontal="justify" vertical="center" wrapText="1"/>
    </xf>
    <xf numFmtId="164" fontId="12" fillId="5" borderId="3" xfId="37" applyFont="1" applyFill="1" applyBorder="1" applyAlignment="1">
      <alignment horizontal="justify" vertical="center" wrapText="1"/>
    </xf>
    <xf numFmtId="173" fontId="12" fillId="21" borderId="5" xfId="96" applyNumberFormat="1" applyFont="1" applyFill="1" applyBorder="1" applyAlignment="1">
      <alignment horizontal="justify" vertical="center" wrapText="1"/>
    </xf>
    <xf numFmtId="173" fontId="12" fillId="21" borderId="2" xfId="96" applyNumberFormat="1" applyFont="1" applyFill="1" applyBorder="1" applyAlignment="1">
      <alignment horizontal="justify" vertical="center" wrapText="1"/>
    </xf>
    <xf numFmtId="8" fontId="12" fillId="0" borderId="5" xfId="1" applyNumberFormat="1" applyFont="1" applyBorder="1" applyAlignment="1">
      <alignment horizontal="center" vertical="center" wrapText="1"/>
    </xf>
    <xf numFmtId="8" fontId="28" fillId="0" borderId="5" xfId="1" applyNumberFormat="1" applyFont="1" applyBorder="1" applyAlignment="1">
      <alignment horizontal="center" vertical="center" wrapText="1"/>
    </xf>
    <xf numFmtId="174" fontId="24" fillId="12" borderId="6" xfId="117" applyNumberFormat="1" applyFont="1" applyFill="1" applyBorder="1" applyAlignment="1">
      <alignment horizontal="center" vertical="center"/>
    </xf>
    <xf numFmtId="14" fontId="22" fillId="5" borderId="5" xfId="40" applyNumberFormat="1" applyFont="1" applyFill="1" applyBorder="1" applyAlignment="1">
      <alignment horizontal="center" vertical="center"/>
    </xf>
    <xf numFmtId="174" fontId="44" fillId="12" borderId="2" xfId="0" applyNumberFormat="1" applyFont="1" applyFill="1" applyBorder="1" applyAlignment="1">
      <alignment horizontal="center" vertical="center"/>
    </xf>
    <xf numFmtId="10" fontId="12" fillId="0" borderId="3" xfId="55" applyNumberFormat="1" applyFont="1" applyFill="1" applyBorder="1" applyAlignment="1">
      <alignment horizontal="center" vertical="center" wrapText="1"/>
    </xf>
    <xf numFmtId="10" fontId="31" fillId="0" borderId="5" xfId="55" applyNumberFormat="1" applyFont="1" applyFill="1" applyBorder="1" applyAlignment="1">
      <alignment horizontal="center" vertical="center" wrapText="1"/>
    </xf>
    <xf numFmtId="8" fontId="12" fillId="0" borderId="5" xfId="1" applyNumberFormat="1" applyFont="1" applyBorder="1" applyAlignment="1">
      <alignment horizontal="justify" vertical="center" wrapText="1"/>
    </xf>
    <xf numFmtId="164" fontId="12" fillId="0" borderId="2" xfId="37" applyFont="1" applyFill="1" applyBorder="1" applyAlignment="1">
      <alignment horizontal="center" vertical="center" wrapText="1"/>
    </xf>
    <xf numFmtId="10" fontId="28" fillId="0" borderId="3" xfId="55" applyNumberFormat="1" applyFont="1" applyFill="1" applyBorder="1" applyAlignment="1">
      <alignment horizontal="center" vertical="center" wrapText="1"/>
    </xf>
    <xf numFmtId="9" fontId="28" fillId="0" borderId="5" xfId="55" applyFont="1" applyFill="1" applyBorder="1" applyAlignment="1">
      <alignment horizontal="center" vertical="center" wrapText="1"/>
    </xf>
    <xf numFmtId="0" fontId="22" fillId="0" borderId="18" xfId="0" applyFont="1" applyBorder="1"/>
    <xf numFmtId="8" fontId="12" fillId="0" borderId="3" xfId="1" applyNumberFormat="1" applyFont="1" applyBorder="1" applyAlignment="1">
      <alignment horizontal="justify" vertical="center" wrapText="1"/>
    </xf>
    <xf numFmtId="164" fontId="28" fillId="0" borderId="3" xfId="37" applyFont="1" applyFill="1" applyBorder="1" applyAlignment="1">
      <alignment horizontal="justify" vertical="center" wrapText="1"/>
    </xf>
    <xf numFmtId="164" fontId="7" fillId="5" borderId="2" xfId="63" applyFont="1" applyFill="1" applyBorder="1" applyAlignment="1">
      <alignment horizontal="justify" vertical="center" wrapText="1"/>
    </xf>
    <xf numFmtId="164" fontId="28" fillId="0" borderId="2" xfId="37" applyFont="1" applyFill="1" applyBorder="1" applyAlignment="1">
      <alignment horizontal="center" vertical="center" wrapText="1"/>
    </xf>
    <xf numFmtId="0" fontId="54" fillId="0" borderId="0" xfId="0" applyFont="1" applyAlignment="1">
      <alignment vertical="top" wrapText="1"/>
    </xf>
    <xf numFmtId="14" fontId="28" fillId="0" borderId="5" xfId="1" applyNumberFormat="1" applyFont="1" applyBorder="1" applyAlignment="1">
      <alignment horizontal="justify" vertical="center" wrapText="1"/>
    </xf>
    <xf numFmtId="14" fontId="28" fillId="0" borderId="2" xfId="1" applyNumberFormat="1" applyFont="1" applyBorder="1" applyAlignment="1">
      <alignment horizontal="justify" vertical="center" wrapText="1"/>
    </xf>
    <xf numFmtId="14" fontId="28" fillId="0" borderId="4" xfId="1" applyNumberFormat="1" applyFont="1" applyBorder="1" applyAlignment="1">
      <alignment horizontal="justify" vertical="center" wrapText="1"/>
    </xf>
    <xf numFmtId="0" fontId="55" fillId="15" borderId="0" xfId="0" applyFont="1" applyFill="1" applyAlignment="1">
      <alignment horizontal="center" vertical="center"/>
    </xf>
    <xf numFmtId="0" fontId="56" fillId="0" borderId="2" xfId="0" applyFont="1" applyBorder="1"/>
    <xf numFmtId="0" fontId="56" fillId="0" borderId="0" xfId="0" applyFont="1"/>
    <xf numFmtId="44" fontId="55" fillId="15" borderId="0" xfId="0" applyNumberFormat="1" applyFont="1" applyFill="1" applyAlignment="1">
      <alignment vertical="center"/>
    </xf>
    <xf numFmtId="44" fontId="55" fillId="15" borderId="0" xfId="0" applyNumberFormat="1" applyFont="1" applyFill="1" applyAlignment="1">
      <alignment horizontal="center" vertical="center"/>
    </xf>
    <xf numFmtId="44" fontId="56" fillId="0" borderId="2" xfId="0" applyNumberFormat="1" applyFont="1" applyBorder="1"/>
    <xf numFmtId="44" fontId="56" fillId="0" borderId="0" xfId="0" applyNumberFormat="1" applyFont="1"/>
    <xf numFmtId="0" fontId="55" fillId="15" borderId="0" xfId="0" applyFont="1" applyFill="1" applyAlignment="1">
      <alignment horizontal="center" vertical="center" wrapText="1"/>
    </xf>
    <xf numFmtId="0" fontId="28" fillId="6" borderId="5" xfId="1" applyFont="1" applyFill="1" applyBorder="1" applyAlignment="1">
      <alignment horizontal="justify" vertical="center" wrapText="1"/>
    </xf>
    <xf numFmtId="0" fontId="56" fillId="6" borderId="2" xfId="0" applyFont="1" applyFill="1" applyBorder="1"/>
    <xf numFmtId="44" fontId="56" fillId="16" borderId="2" xfId="0" applyNumberFormat="1" applyFont="1" applyFill="1" applyBorder="1"/>
    <xf numFmtId="8" fontId="56" fillId="6" borderId="0" xfId="0" applyNumberFormat="1" applyFont="1" applyFill="1"/>
    <xf numFmtId="164" fontId="51" fillId="5" borderId="2" xfId="37" applyFont="1" applyFill="1" applyBorder="1" applyAlignment="1">
      <alignment horizontal="center" vertical="center" wrapText="1"/>
    </xf>
    <xf numFmtId="0" fontId="30" fillId="0" borderId="0" xfId="0" applyFont="1"/>
    <xf numFmtId="0" fontId="49" fillId="0" borderId="0" xfId="0" applyFont="1" applyAlignment="1">
      <alignment horizontal="center" vertical="center"/>
    </xf>
    <xf numFmtId="0" fontId="58" fillId="26" borderId="23" xfId="0" applyFont="1" applyFill="1" applyBorder="1" applyAlignment="1">
      <alignment horizontal="center" vertical="center"/>
    </xf>
    <xf numFmtId="0" fontId="12" fillId="0" borderId="2" xfId="1" applyFont="1" applyBorder="1" applyAlignment="1">
      <alignment vertical="center" wrapText="1"/>
    </xf>
    <xf numFmtId="0" fontId="58" fillId="26" borderId="23" xfId="0" applyFont="1" applyFill="1" applyBorder="1" applyAlignment="1">
      <alignment horizontal="center" vertical="center" wrapText="1"/>
    </xf>
    <xf numFmtId="0" fontId="59" fillId="0" borderId="0" xfId="0" applyFont="1" applyAlignment="1">
      <alignment horizontal="center"/>
    </xf>
    <xf numFmtId="14" fontId="0" fillId="0" borderId="0" xfId="0" applyNumberForma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xf>
    <xf numFmtId="3" fontId="7" fillId="0" borderId="2" xfId="1" applyNumberFormat="1" applyFont="1" applyBorder="1" applyAlignment="1">
      <alignment horizontal="center" vertical="center" wrapText="1"/>
    </xf>
    <xf numFmtId="9" fontId="24" fillId="0" borderId="2" xfId="55" applyFont="1" applyFill="1" applyBorder="1" applyAlignment="1">
      <alignment horizontal="center" vertical="center" wrapText="1"/>
    </xf>
    <xf numFmtId="173" fontId="44" fillId="0" borderId="2" xfId="96" applyNumberFormat="1" applyFont="1" applyFill="1" applyBorder="1" applyAlignment="1">
      <alignment horizontal="center" vertical="center" wrapText="1"/>
    </xf>
    <xf numFmtId="0" fontId="24" fillId="0" borderId="2" xfId="1" applyFont="1" applyBorder="1" applyAlignment="1">
      <alignment horizontal="left" vertical="center" wrapText="1"/>
    </xf>
    <xf numFmtId="0" fontId="7" fillId="0" borderId="2" xfId="1" applyFont="1" applyBorder="1" applyAlignment="1">
      <alignment horizontal="left" vertical="center" wrapText="1"/>
    </xf>
    <xf numFmtId="164" fontId="24" fillId="0" borderId="2" xfId="37" applyFont="1" applyFill="1" applyBorder="1" applyAlignment="1">
      <alignment horizontal="justify" vertical="center" wrapText="1"/>
    </xf>
    <xf numFmtId="14" fontId="24" fillId="0" borderId="2" xfId="1" applyNumberFormat="1" applyFont="1" applyBorder="1" applyAlignment="1">
      <alignment horizontal="center" vertical="center" wrapText="1"/>
    </xf>
    <xf numFmtId="14" fontId="24" fillId="0" borderId="2" xfId="1" applyNumberFormat="1" applyFont="1" applyBorder="1" applyAlignment="1">
      <alignment horizontal="justify" vertical="center" wrapText="1"/>
    </xf>
    <xf numFmtId="10" fontId="24" fillId="0" borderId="2" xfId="55" applyNumberFormat="1" applyFont="1" applyFill="1" applyBorder="1" applyAlignment="1">
      <alignment horizontal="center" vertical="center" wrapText="1"/>
    </xf>
    <xf numFmtId="0" fontId="22" fillId="0" borderId="2" xfId="0" applyFont="1" applyBorder="1" applyAlignment="1">
      <alignment horizontal="center" vertical="center" wrapText="1"/>
    </xf>
    <xf numFmtId="0" fontId="58" fillId="0" borderId="23" xfId="0" applyFont="1" applyBorder="1" applyAlignment="1">
      <alignment horizontal="center" vertical="center"/>
    </xf>
    <xf numFmtId="0" fontId="1" fillId="0" borderId="0" xfId="154"/>
    <xf numFmtId="0" fontId="60" fillId="0" borderId="0" xfId="154" applyFont="1" applyAlignment="1">
      <alignment vertical="center"/>
    </xf>
    <xf numFmtId="0" fontId="61" fillId="0" borderId="2" xfId="154" applyFont="1" applyBorder="1" applyAlignment="1">
      <alignment horizontal="center" vertical="center"/>
    </xf>
    <xf numFmtId="0" fontId="61" fillId="0" borderId="2" xfId="154" applyFont="1" applyBorder="1" applyAlignment="1">
      <alignment horizontal="center" vertical="center" wrapText="1"/>
    </xf>
    <xf numFmtId="0" fontId="62" fillId="0" borderId="0" xfId="154" applyFont="1"/>
    <xf numFmtId="0" fontId="61" fillId="0" borderId="2" xfId="154" applyFont="1" applyBorder="1" applyAlignment="1">
      <alignment horizontal="left" vertical="top" wrapText="1"/>
    </xf>
    <xf numFmtId="0" fontId="61" fillId="0" borderId="2" xfId="154" applyFont="1" applyBorder="1" applyAlignment="1">
      <alignment horizontal="center" vertical="top" wrapText="1"/>
    </xf>
    <xf numFmtId="0" fontId="61" fillId="0" borderId="24" xfId="154" applyFont="1" applyBorder="1" applyAlignment="1">
      <alignment horizontal="left" vertical="top" wrapText="1"/>
    </xf>
    <xf numFmtId="0" fontId="61" fillId="0" borderId="24" xfId="154" applyFont="1" applyBorder="1" applyAlignment="1">
      <alignment horizontal="center" vertical="center" wrapText="1"/>
    </xf>
    <xf numFmtId="0" fontId="62" fillId="0" borderId="0" xfId="154" applyFont="1" applyAlignment="1">
      <alignment horizontal="left" vertical="top"/>
    </xf>
    <xf numFmtId="0" fontId="63" fillId="0" borderId="0" xfId="154" applyFont="1" applyAlignment="1">
      <alignment horizontal="center" vertical="center"/>
    </xf>
    <xf numFmtId="0" fontId="61" fillId="0" borderId="0" xfId="154" applyFont="1"/>
    <xf numFmtId="15" fontId="0" fillId="0" borderId="0" xfId="154" applyNumberFormat="1" applyFont="1" applyAlignment="1">
      <alignment horizontal="right"/>
    </xf>
    <xf numFmtId="0" fontId="50" fillId="0" borderId="2" xfId="1" applyFont="1" applyBorder="1" applyAlignment="1">
      <alignment horizontal="left" vertical="center" wrapText="1"/>
    </xf>
    <xf numFmtId="0" fontId="47" fillId="4" borderId="3" xfId="0" applyFont="1" applyFill="1" applyBorder="1" applyAlignment="1">
      <alignment horizontal="center" vertical="center"/>
    </xf>
    <xf numFmtId="0" fontId="47" fillId="4" borderId="5" xfId="0" applyFont="1" applyFill="1" applyBorder="1" applyAlignment="1">
      <alignment horizontal="center" vertical="center"/>
    </xf>
    <xf numFmtId="0" fontId="47" fillId="18" borderId="2" xfId="0" applyFont="1" applyFill="1" applyBorder="1" applyAlignment="1">
      <alignment horizontal="center"/>
    </xf>
    <xf numFmtId="0" fontId="47" fillId="4" borderId="7" xfId="0" applyFont="1" applyFill="1" applyBorder="1" applyAlignment="1">
      <alignment horizontal="center"/>
    </xf>
    <xf numFmtId="0" fontId="47" fillId="4" borderId="21" xfId="0" applyFont="1" applyFill="1" applyBorder="1" applyAlignment="1">
      <alignment horizontal="center"/>
    </xf>
    <xf numFmtId="0" fontId="47" fillId="4" borderId="8" xfId="0" applyFont="1" applyFill="1" applyBorder="1" applyAlignment="1">
      <alignment horizontal="center"/>
    </xf>
    <xf numFmtId="0" fontId="47" fillId="18" borderId="3" xfId="0" applyFont="1" applyFill="1" applyBorder="1" applyAlignment="1">
      <alignment horizontal="center" vertical="center"/>
    </xf>
    <xf numFmtId="0" fontId="47" fillId="18" borderId="5" xfId="0" applyFont="1" applyFill="1" applyBorder="1" applyAlignment="1">
      <alignment horizontal="center" vertical="center"/>
    </xf>
    <xf numFmtId="0" fontId="57" fillId="25" borderId="0" xfId="0" applyFont="1" applyFill="1" applyAlignment="1">
      <alignment horizontal="center" vertical="center" wrapText="1"/>
    </xf>
    <xf numFmtId="0" fontId="61" fillId="0" borderId="24" xfId="154" applyFont="1" applyBorder="1" applyAlignment="1">
      <alignment horizontal="center" wrapText="1"/>
    </xf>
    <xf numFmtId="0" fontId="61" fillId="0" borderId="0" xfId="154" applyFont="1" applyAlignment="1">
      <alignment horizontal="center" wrapText="1"/>
    </xf>
    <xf numFmtId="0" fontId="49" fillId="0" borderId="0" xfId="0" applyFont="1" applyAlignment="1">
      <alignment horizontal="center" vertical="center"/>
    </xf>
    <xf numFmtId="0" fontId="47" fillId="0" borderId="0" xfId="0" applyFont="1" applyAlignment="1">
      <alignment horizontal="center"/>
    </xf>
  </cellXfs>
  <cellStyles count="155">
    <cellStyle name="Comma" xfId="2" xr:uid="{00000000-0005-0000-0000-000000000000}"/>
    <cellStyle name="Comma 2" xfId="3" xr:uid="{00000000-0005-0000-0000-000001000000}"/>
    <cellStyle name="Comma 2 2" xfId="4" xr:uid="{00000000-0005-0000-0000-000002000000}"/>
    <cellStyle name="Comma 3" xfId="5" xr:uid="{00000000-0005-0000-0000-000003000000}"/>
    <cellStyle name="Comma 3 2" xfId="6" xr:uid="{00000000-0005-0000-0000-000004000000}"/>
    <cellStyle name="Currency" xfId="54" xr:uid="{00000000-0005-0000-0000-000005000000}"/>
    <cellStyle name="Currency 2" xfId="7" xr:uid="{00000000-0005-0000-0000-000006000000}"/>
    <cellStyle name="Currency 2 2" xfId="8" xr:uid="{00000000-0005-0000-0000-000007000000}"/>
    <cellStyle name="Currency 3" xfId="9" xr:uid="{00000000-0005-0000-0000-000008000000}"/>
    <cellStyle name="Currency 3 2" xfId="10" xr:uid="{00000000-0005-0000-0000-000009000000}"/>
    <cellStyle name="Date" xfId="11" xr:uid="{00000000-0005-0000-0000-00000A000000}"/>
    <cellStyle name="Date 2" xfId="12" xr:uid="{00000000-0005-0000-0000-00000B000000}"/>
    <cellStyle name="Date 2 2" xfId="13" xr:uid="{00000000-0005-0000-0000-00000C000000}"/>
    <cellStyle name="Date 3" xfId="14" xr:uid="{00000000-0005-0000-0000-00000D000000}"/>
    <cellStyle name="Date 3 2" xfId="15" xr:uid="{00000000-0005-0000-0000-00000E000000}"/>
    <cellStyle name="Euro" xfId="16" xr:uid="{00000000-0005-0000-0000-00000F000000}"/>
    <cellStyle name="Euro 2" xfId="17" xr:uid="{00000000-0005-0000-0000-000010000000}"/>
    <cellStyle name="Euro 2 2" xfId="18" xr:uid="{00000000-0005-0000-0000-000011000000}"/>
    <cellStyle name="Euro 2 2 2" xfId="59" xr:uid="{00000000-0005-0000-0000-000012000000}"/>
    <cellStyle name="Euro 2 3" xfId="58" xr:uid="{00000000-0005-0000-0000-000013000000}"/>
    <cellStyle name="Euro 3" xfId="19" xr:uid="{00000000-0005-0000-0000-000014000000}"/>
    <cellStyle name="Euro 3 2" xfId="20" xr:uid="{00000000-0005-0000-0000-000015000000}"/>
    <cellStyle name="Euro 3 2 2" xfId="61" xr:uid="{00000000-0005-0000-0000-000016000000}"/>
    <cellStyle name="Euro 3 3" xfId="60" xr:uid="{00000000-0005-0000-0000-000017000000}"/>
    <cellStyle name="Euro 4" xfId="57" xr:uid="{00000000-0005-0000-0000-000018000000}"/>
    <cellStyle name="Fixed" xfId="21" xr:uid="{00000000-0005-0000-0000-000019000000}"/>
    <cellStyle name="Fixed 2" xfId="22" xr:uid="{00000000-0005-0000-0000-00001A000000}"/>
    <cellStyle name="Fixed 2 2" xfId="23" xr:uid="{00000000-0005-0000-0000-00001B000000}"/>
    <cellStyle name="Fixed 3" xfId="24" xr:uid="{00000000-0005-0000-0000-00001C000000}"/>
    <cellStyle name="Fixed 3 2" xfId="25" xr:uid="{00000000-0005-0000-0000-00001D000000}"/>
    <cellStyle name="Heading1" xfId="26" xr:uid="{00000000-0005-0000-0000-00001E000000}"/>
    <cellStyle name="Heading1 2" xfId="27" xr:uid="{00000000-0005-0000-0000-00001F000000}"/>
    <cellStyle name="Heading1 2 2" xfId="28" xr:uid="{00000000-0005-0000-0000-000020000000}"/>
    <cellStyle name="Heading1 3" xfId="29" xr:uid="{00000000-0005-0000-0000-000021000000}"/>
    <cellStyle name="Heading1 3 2" xfId="30" xr:uid="{00000000-0005-0000-0000-000022000000}"/>
    <cellStyle name="Heading2" xfId="31" xr:uid="{00000000-0005-0000-0000-000023000000}"/>
    <cellStyle name="Heading2 2" xfId="32" xr:uid="{00000000-0005-0000-0000-000024000000}"/>
    <cellStyle name="Heading2 2 2" xfId="33" xr:uid="{00000000-0005-0000-0000-000025000000}"/>
    <cellStyle name="Heading2 3" xfId="34" xr:uid="{00000000-0005-0000-0000-000026000000}"/>
    <cellStyle name="Heading2 3 2" xfId="35" xr:uid="{00000000-0005-0000-0000-000027000000}"/>
    <cellStyle name="Hipervínculo" xfId="53" builtinId="8"/>
    <cellStyle name="Millares 2" xfId="71" xr:uid="{00000000-0005-0000-0000-000029000000}"/>
    <cellStyle name="Millares 2 10" xfId="113" xr:uid="{00000000-0005-0000-0000-00002A000000}"/>
    <cellStyle name="Millares 2 11" xfId="143" xr:uid="{00000000-0005-0000-0000-00002B000000}"/>
    <cellStyle name="Millares 2 12" xfId="146" xr:uid="{00000000-0005-0000-0000-00002C000000}"/>
    <cellStyle name="Millares 2 13" xfId="151" xr:uid="{A6D5B940-B8C1-4202-B401-7D2EFD0441DB}"/>
    <cellStyle name="Millares 2 2" xfId="68" xr:uid="{00000000-0005-0000-0000-00002D000000}"/>
    <cellStyle name="Millares 2 2 10" xfId="147" xr:uid="{00000000-0005-0000-0000-00002E000000}"/>
    <cellStyle name="Millares 2 2 11" xfId="152" xr:uid="{E7BDA920-211C-4819-B5CF-9A846A21DB60}"/>
    <cellStyle name="Millares 2 2 2" xfId="73" xr:uid="{00000000-0005-0000-0000-00002F000000}"/>
    <cellStyle name="Millares 2 2 2 2" xfId="81" xr:uid="{00000000-0005-0000-0000-000030000000}"/>
    <cellStyle name="Millares 2 2 2 2 2" xfId="122" xr:uid="{00000000-0005-0000-0000-000031000000}"/>
    <cellStyle name="Millares 2 2 2 3" xfId="99" xr:uid="{00000000-0005-0000-0000-000032000000}"/>
    <cellStyle name="Millares 2 2 2 3 2" xfId="137" xr:uid="{00000000-0005-0000-0000-000033000000}"/>
    <cellStyle name="Millares 2 2 2 4" xfId="101" xr:uid="{00000000-0005-0000-0000-000034000000}"/>
    <cellStyle name="Millares 2 2 2 4 2" xfId="139" xr:uid="{00000000-0005-0000-0000-000035000000}"/>
    <cellStyle name="Millares 2 2 2 5" xfId="115" xr:uid="{00000000-0005-0000-0000-000036000000}"/>
    <cellStyle name="Millares 2 2 2 6" xfId="149" xr:uid="{00000000-0005-0000-0000-000037000000}"/>
    <cellStyle name="Millares 2 2 3" xfId="76" xr:uid="{00000000-0005-0000-0000-000038000000}"/>
    <cellStyle name="Millares 2 2 3 2" xfId="118" xr:uid="{00000000-0005-0000-0000-000039000000}"/>
    <cellStyle name="Millares 2 2 4" xfId="83" xr:uid="{00000000-0005-0000-0000-00003A000000}"/>
    <cellStyle name="Millares 2 2 4 2" xfId="124" xr:uid="{00000000-0005-0000-0000-00003B000000}"/>
    <cellStyle name="Millares 2 2 5" xfId="87" xr:uid="{00000000-0005-0000-0000-00003C000000}"/>
    <cellStyle name="Millares 2 2 5 2" xfId="127" xr:uid="{00000000-0005-0000-0000-00003D000000}"/>
    <cellStyle name="Millares 2 2 6" xfId="92" xr:uid="{00000000-0005-0000-0000-00003E000000}"/>
    <cellStyle name="Millares 2 2 6 2" xfId="131" xr:uid="{00000000-0005-0000-0000-00003F000000}"/>
    <cellStyle name="Millares 2 2 7" xfId="95" xr:uid="{00000000-0005-0000-0000-000040000000}"/>
    <cellStyle name="Millares 2 2 7 2" xfId="134" xr:uid="{00000000-0005-0000-0000-000041000000}"/>
    <cellStyle name="Millares 2 2 8" xfId="104" xr:uid="{00000000-0005-0000-0000-000042000000}"/>
    <cellStyle name="Millares 2 2 8 2" xfId="142" xr:uid="{00000000-0005-0000-0000-000043000000}"/>
    <cellStyle name="Millares 2 2 9" xfId="144" xr:uid="{00000000-0005-0000-0000-000044000000}"/>
    <cellStyle name="Millares 2 3" xfId="78" xr:uid="{00000000-0005-0000-0000-000045000000}"/>
    <cellStyle name="Millares 2 3 2" xfId="80" xr:uid="{00000000-0005-0000-0000-000046000000}"/>
    <cellStyle name="Millares 2 3 2 2" xfId="121" xr:uid="{00000000-0005-0000-0000-000047000000}"/>
    <cellStyle name="Millares 2 3 3" xfId="98" xr:uid="{00000000-0005-0000-0000-000048000000}"/>
    <cellStyle name="Millares 2 3 3 2" xfId="136" xr:uid="{00000000-0005-0000-0000-000049000000}"/>
    <cellStyle name="Millares 2 3 4" xfId="100" xr:uid="{00000000-0005-0000-0000-00004A000000}"/>
    <cellStyle name="Millares 2 3 4 2" xfId="138" xr:uid="{00000000-0005-0000-0000-00004B000000}"/>
    <cellStyle name="Millares 2 3 5" xfId="120" xr:uid="{00000000-0005-0000-0000-00004C000000}"/>
    <cellStyle name="Millares 2 3 6" xfId="145" xr:uid="{00000000-0005-0000-0000-00004D000000}"/>
    <cellStyle name="Millares 2 3 7" xfId="148" xr:uid="{00000000-0005-0000-0000-00004E000000}"/>
    <cellStyle name="Millares 2 4" xfId="72" xr:uid="{00000000-0005-0000-0000-00004F000000}"/>
    <cellStyle name="Millares 2 4 2" xfId="114" xr:uid="{00000000-0005-0000-0000-000050000000}"/>
    <cellStyle name="Millares 2 5" xfId="82" xr:uid="{00000000-0005-0000-0000-000051000000}"/>
    <cellStyle name="Millares 2 5 2" xfId="123" xr:uid="{00000000-0005-0000-0000-000052000000}"/>
    <cellStyle name="Millares 2 6" xfId="86" xr:uid="{00000000-0005-0000-0000-000053000000}"/>
    <cellStyle name="Millares 2 6 2" xfId="126" xr:uid="{00000000-0005-0000-0000-000054000000}"/>
    <cellStyle name="Millares 2 7" xfId="91" xr:uid="{00000000-0005-0000-0000-000055000000}"/>
    <cellStyle name="Millares 2 7 2" xfId="130" xr:uid="{00000000-0005-0000-0000-000056000000}"/>
    <cellStyle name="Millares 2 8" xfId="94" xr:uid="{00000000-0005-0000-0000-000057000000}"/>
    <cellStyle name="Millares 2 8 2" xfId="133" xr:uid="{00000000-0005-0000-0000-000058000000}"/>
    <cellStyle name="Millares 2 9" xfId="103" xr:uid="{00000000-0005-0000-0000-000059000000}"/>
    <cellStyle name="Millares 2 9 2" xfId="141" xr:uid="{00000000-0005-0000-0000-00005A000000}"/>
    <cellStyle name="Millares 3" xfId="74" xr:uid="{00000000-0005-0000-0000-00005B000000}"/>
    <cellStyle name="Millares 3 2" xfId="116" xr:uid="{00000000-0005-0000-0000-00005C000000}"/>
    <cellStyle name="Millares 4" xfId="88" xr:uid="{00000000-0005-0000-0000-00005D000000}"/>
    <cellStyle name="Millares 4 2" xfId="128" xr:uid="{00000000-0005-0000-0000-00005E000000}"/>
    <cellStyle name="Millares 5" xfId="97" xr:uid="{00000000-0005-0000-0000-00005F000000}"/>
    <cellStyle name="Millares 5 2" xfId="135" xr:uid="{00000000-0005-0000-0000-000060000000}"/>
    <cellStyle name="Millares 6" xfId="153" xr:uid="{BC44870E-FD5A-400F-BE4A-FA2FA61F8388}"/>
    <cellStyle name="Moneda 2" xfId="37" xr:uid="{00000000-0005-0000-0000-000061000000}"/>
    <cellStyle name="Moneda 2 2" xfId="63" xr:uid="{00000000-0005-0000-0000-000062000000}"/>
    <cellStyle name="Moneda 2 2 2" xfId="111" xr:uid="{00000000-0005-0000-0000-000063000000}"/>
    <cellStyle name="Moneda 2 3" xfId="106" xr:uid="{00000000-0005-0000-0000-000064000000}"/>
    <cellStyle name="Moneda 2 4" xfId="150" xr:uid="{00000000-0005-0000-0000-000065000000}"/>
    <cellStyle name="Moneda 3" xfId="38" xr:uid="{00000000-0005-0000-0000-000066000000}"/>
    <cellStyle name="Moneda 3 2" xfId="107" xr:uid="{00000000-0005-0000-0000-000067000000}"/>
    <cellStyle name="Moneda 4" xfId="36" xr:uid="{00000000-0005-0000-0000-000068000000}"/>
    <cellStyle name="Moneda 4 2" xfId="105" xr:uid="{00000000-0005-0000-0000-000069000000}"/>
    <cellStyle name="Moneda 5" xfId="62" xr:uid="{00000000-0005-0000-0000-00006A000000}"/>
    <cellStyle name="Moneda 5 2" xfId="110" xr:uid="{00000000-0005-0000-0000-00006B000000}"/>
    <cellStyle name="Moneda 6" xfId="108" xr:uid="{00000000-0005-0000-0000-00006C000000}"/>
    <cellStyle name="Normal" xfId="0" builtinId="0"/>
    <cellStyle name="Normal 10" xfId="93" xr:uid="{00000000-0005-0000-0000-00006E000000}"/>
    <cellStyle name="Normal 10 2" xfId="132" xr:uid="{00000000-0005-0000-0000-00006F000000}"/>
    <cellStyle name="Normal 11" xfId="102" xr:uid="{00000000-0005-0000-0000-000070000000}"/>
    <cellStyle name="Normal 11 2" xfId="140" xr:uid="{00000000-0005-0000-0000-000071000000}"/>
    <cellStyle name="Normal 2" xfId="39" xr:uid="{00000000-0005-0000-0000-000072000000}"/>
    <cellStyle name="Normal 2 2" xfId="64" xr:uid="{00000000-0005-0000-0000-000073000000}"/>
    <cellStyle name="Normal 2 3" xfId="75" xr:uid="{00000000-0005-0000-0000-000074000000}"/>
    <cellStyle name="Normal 2 3 2" xfId="117" xr:uid="{00000000-0005-0000-0000-000075000000}"/>
    <cellStyle name="Normal 2 4" xfId="89" xr:uid="{00000000-0005-0000-0000-000076000000}"/>
    <cellStyle name="Normal 2 5" xfId="154" xr:uid="{4504F040-F6B3-42DF-B3FA-5BB4886FD240}"/>
    <cellStyle name="Normal 3" xfId="40" xr:uid="{00000000-0005-0000-0000-000077000000}"/>
    <cellStyle name="Normal 3 2" xfId="79" xr:uid="{00000000-0005-0000-0000-000078000000}"/>
    <cellStyle name="Normal 4" xfId="1" xr:uid="{00000000-0005-0000-0000-000079000000}"/>
    <cellStyle name="Normal 5" xfId="56" xr:uid="{00000000-0005-0000-0000-00007A000000}"/>
    <cellStyle name="Normal 5 2" xfId="109" xr:uid="{00000000-0005-0000-0000-00007B000000}"/>
    <cellStyle name="Normal 6" xfId="69" xr:uid="{00000000-0005-0000-0000-00007C000000}"/>
    <cellStyle name="Normal 7" xfId="77" xr:uid="{00000000-0005-0000-0000-00007D000000}"/>
    <cellStyle name="Normal 7 2" xfId="119" xr:uid="{00000000-0005-0000-0000-00007E000000}"/>
    <cellStyle name="Normal 8" xfId="84" xr:uid="{00000000-0005-0000-0000-00007F000000}"/>
    <cellStyle name="Normal 8 2" xfId="67" xr:uid="{00000000-0005-0000-0000-000080000000}"/>
    <cellStyle name="Normal 8 3" xfId="125" xr:uid="{00000000-0005-0000-0000-000081000000}"/>
    <cellStyle name="Normal 9" xfId="90" xr:uid="{00000000-0005-0000-0000-000082000000}"/>
    <cellStyle name="Normal 9 2" xfId="129" xr:uid="{00000000-0005-0000-0000-000083000000}"/>
    <cellStyle name="Percent" xfId="55" xr:uid="{00000000-0005-0000-0000-000084000000}"/>
    <cellStyle name="Percent 2" xfId="41" xr:uid="{00000000-0005-0000-0000-000085000000}"/>
    <cellStyle name="Percent 2 2" xfId="42" xr:uid="{00000000-0005-0000-0000-000086000000}"/>
    <cellStyle name="Percent 3" xfId="43" xr:uid="{00000000-0005-0000-0000-000087000000}"/>
    <cellStyle name="Percent 3 2" xfId="44" xr:uid="{00000000-0005-0000-0000-000088000000}"/>
    <cellStyle name="Porcentaje 2" xfId="45" xr:uid="{00000000-0005-0000-0000-000089000000}"/>
    <cellStyle name="Porcentaje 2 2" xfId="96" xr:uid="{00000000-0005-0000-0000-00008A000000}"/>
    <cellStyle name="Porcentaje 3" xfId="65" xr:uid="{00000000-0005-0000-0000-00008B000000}"/>
    <cellStyle name="Porcentaje 4" xfId="70" xr:uid="{00000000-0005-0000-0000-00008C000000}"/>
    <cellStyle name="Porcentaje 4 2" xfId="112" xr:uid="{00000000-0005-0000-0000-00008D000000}"/>
    <cellStyle name="Porcentaje 5" xfId="85" xr:uid="{00000000-0005-0000-0000-00008E000000}"/>
    <cellStyle name="Porcentual 2 2" xfId="46" xr:uid="{00000000-0005-0000-0000-00008F000000}"/>
    <cellStyle name="Porcentual 2 2 2" xfId="66" xr:uid="{00000000-0005-0000-0000-000090000000}"/>
    <cellStyle name="Total 2" xfId="48" xr:uid="{00000000-0005-0000-0000-000091000000}"/>
    <cellStyle name="Total 2 2" xfId="49" xr:uid="{00000000-0005-0000-0000-000092000000}"/>
    <cellStyle name="Total 3" xfId="50" xr:uid="{00000000-0005-0000-0000-000093000000}"/>
    <cellStyle name="Total 3 2" xfId="51" xr:uid="{00000000-0005-0000-0000-000094000000}"/>
    <cellStyle name="Total 4" xfId="52" xr:uid="{00000000-0005-0000-0000-000095000000}"/>
    <cellStyle name="Total 5" xfId="47" xr:uid="{00000000-0005-0000-0000-000096000000}"/>
  </cellStyles>
  <dxfs count="2">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0000FF"/>
      <color rgb="FFFF33CC"/>
      <color rgb="FFFF6699"/>
      <color rgb="FF9F2240"/>
      <color rgb="FFFF3300"/>
      <color rgb="FF00CC99"/>
      <color rgb="FF00FF00"/>
      <color rgb="FFFF7C80"/>
      <color rgb="FFFFFFC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18" Type="http://schemas.microsoft.com/office/2017/06/relationships/rdRichValueStructure" Target="richData/rdrichvaluestructure.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microsoft.com/office/2017/06/relationships/rdRichValue" Target="richData/rdrichvalue.xml"/><Relationship Id="rId2" Type="http://schemas.openxmlformats.org/officeDocument/2006/relationships/worksheet" Target="worksheets/sheet2.xml"/><Relationship Id="rId16" Type="http://schemas.microsoft.com/office/2022/10/relationships/richValueRel" Target="richData/richValueRel.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externalLink" Target="externalLinks/externalLink3.xml"/><Relationship Id="rId19"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1253106" cy="1265464"/>
    <xdr:pic>
      <xdr:nvPicPr>
        <xdr:cNvPr id="2" name="image1.png">
          <a:extLst>
            <a:ext uri="{FF2B5EF4-FFF2-40B4-BE49-F238E27FC236}">
              <a16:creationId xmlns:a16="http://schemas.microsoft.com/office/drawing/2014/main" id="{18DD0DEF-A90F-4B68-9E8E-C560AEA19D3B}"/>
            </a:ext>
          </a:extLst>
        </xdr:cNvPr>
        <xdr:cNvPicPr preferRelativeResize="0"/>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779" r="40496"/>
        <a:stretch>
          <a:fillRect/>
        </a:stretch>
      </xdr:blipFill>
      <xdr:spPr>
        <a:xfrm>
          <a:off x="0" y="0"/>
          <a:ext cx="11253106" cy="1265464"/>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1</xdr:col>
      <xdr:colOff>123825</xdr:colOff>
      <xdr:row>0</xdr:row>
      <xdr:rowOff>0</xdr:rowOff>
    </xdr:from>
    <xdr:to>
      <xdr:col>1</xdr:col>
      <xdr:colOff>2288598</xdr:colOff>
      <xdr:row>4</xdr:row>
      <xdr:rowOff>180975</xdr:rowOff>
    </xdr:to>
    <xdr:pic>
      <xdr:nvPicPr>
        <xdr:cNvPr id="2" name="1 Imagen">
          <a:extLst>
            <a:ext uri="{FF2B5EF4-FFF2-40B4-BE49-F238E27FC236}">
              <a16:creationId xmlns:a16="http://schemas.microsoft.com/office/drawing/2014/main" id="{192FBEED-2709-4DA7-B15D-FF3DEEBE123E}"/>
            </a:ext>
          </a:extLst>
        </xdr:cNvPr>
        <xdr:cNvPicPr>
          <a:picLocks noChangeAspect="1"/>
        </xdr:cNvPicPr>
      </xdr:nvPicPr>
      <xdr:blipFill rotWithShape="1">
        <a:blip xmlns:r="http://schemas.openxmlformats.org/officeDocument/2006/relationships" r:embed="rId1"/>
        <a:srcRect l="2658" t="38755" r="40695" b="21366"/>
        <a:stretch/>
      </xdr:blipFill>
      <xdr:spPr>
        <a:xfrm>
          <a:off x="885825" y="0"/>
          <a:ext cx="2164773" cy="942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2</xdr:row>
      <xdr:rowOff>66675</xdr:rowOff>
    </xdr:from>
    <xdr:to>
      <xdr:col>2</xdr:col>
      <xdr:colOff>293543</xdr:colOff>
      <xdr:row>4</xdr:row>
      <xdr:rowOff>123825</xdr:rowOff>
    </xdr:to>
    <xdr:pic>
      <xdr:nvPicPr>
        <xdr:cNvPr id="2" name="1 Imagen">
          <a:extLst>
            <a:ext uri="{FF2B5EF4-FFF2-40B4-BE49-F238E27FC236}">
              <a16:creationId xmlns:a16="http://schemas.microsoft.com/office/drawing/2014/main" id="{8B0E1675-C45E-4F31-974F-083FDBD53E44}"/>
            </a:ext>
          </a:extLst>
        </xdr:cNvPr>
        <xdr:cNvPicPr>
          <a:picLocks noChangeAspect="1"/>
        </xdr:cNvPicPr>
      </xdr:nvPicPr>
      <xdr:blipFill rotWithShape="1">
        <a:blip xmlns:r="http://schemas.openxmlformats.org/officeDocument/2006/relationships" r:embed="rId1"/>
        <a:srcRect l="2658" t="38755" r="40695" b="21366"/>
        <a:stretch/>
      </xdr:blipFill>
      <xdr:spPr>
        <a:xfrm>
          <a:off x="800100" y="447675"/>
          <a:ext cx="1017443" cy="438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idor\inversion\ARQ.%20POZOS%20MAYO%2025-06\Datos%20Win%200520\Adm&#243;n%202005-2011\SEG_OP_2005_Nov_23_05_MOD(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S-HP\Users\Users\DGRMSF\Downloads\BASE%20DE%20DATOS%20VO.BO.%20JURIDICO%20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VS-HP\Users\RESPALDO%202014\Respaldo\PROGRAMAS%20ADMON%202011-2017\2018\02%20FEBRERO\CORTE%20AL%202018-02-19\CAEM%20AL%202017-02-22\FORMATO%20CAEM%202017.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S.%20C.%20O\RELACI&#211;N%20DE%20OBRAS%202021.xlsx" TargetMode="External"/><Relationship Id="rId1" Type="http://schemas.openxmlformats.org/officeDocument/2006/relationships/externalLinkPath" Target="/S.%20C.%20O/RELACI&#211;N%20DE%20OBRAS%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RAS"/>
      <sheetName val="RES PROG"/>
      <sheetName val="RESUMEN X REGION"/>
      <sheetName val="OBRAS PROG (2)"/>
      <sheetName val="Hoja2"/>
      <sheetName val="Hoja1"/>
      <sheetName val="OBRASM1"/>
      <sheetName val="RES PROG (2)"/>
      <sheetName val="DESGLOSE DE OBRAS X AUTORIZAR"/>
      <sheetName val="OBRAS PROG"/>
      <sheetName val="RES SIN CONTRA"/>
      <sheetName val="OBRAS SIN CONTRA"/>
      <sheetName val="TODO"/>
      <sheetName val="SIN NO INI"/>
      <sheetName val="Hoja1 (4)"/>
      <sheetName val="Hoja1 (2)"/>
      <sheetName val="RES_PROG"/>
      <sheetName val="RESUMEN_X_REGION"/>
      <sheetName val="OBRAS_PROG_(2)"/>
      <sheetName val="RES_PROG_(2)"/>
      <sheetName val="DESGLOSE_DE_OBRAS_X_AUTORIZAR"/>
      <sheetName val="OBRAS_PROG"/>
      <sheetName val="RES_SIN_CONTRA"/>
      <sheetName val="OBRAS_SIN_CONTRA"/>
      <sheetName val="SIN_NO_INI"/>
      <sheetName val="Hoja1_(4)"/>
      <sheetName val="Hoja1_(2)"/>
      <sheetName val="CATALA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DE DATOS"/>
      <sheetName val="FICHA TÉCNICA"/>
      <sheetName val="CATALAGO"/>
      <sheetName val="BASE DE DATOS S AMARILLO"/>
      <sheetName val="BASE DE APS"/>
      <sheetName val="nota"/>
      <sheetName val="OBRA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FICHA TÉCNICA"/>
      <sheetName val="CATALAGO"/>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sheetName val="Gráfico7"/>
      <sheetName val="Gráfico8"/>
      <sheetName val="Gráfico9"/>
      <sheetName val="Gráfico10"/>
      <sheetName val="Gráfico11"/>
      <sheetName val="Gráfico12"/>
      <sheetName val="OBRA 2021"/>
      <sheetName val="GC 2021"/>
      <sheetName val="RESUMEN t"/>
      <sheetName val="REFRENDO 2020-2021"/>
    </sheetNames>
    <sheetDataSet>
      <sheetData sheetId="0">
        <row r="45">
          <cell r="A45" t="str">
            <v>PROAGUA</v>
          </cell>
        </row>
        <row r="46">
          <cell r="A46" t="str">
            <v>PAD NUEVO 2021</v>
          </cell>
        </row>
        <row r="47">
          <cell r="A47" t="str">
            <v>FID 1928 2021</v>
          </cell>
        </row>
        <row r="49">
          <cell r="A49" t="str">
            <v>FID 1928 2019</v>
          </cell>
        </row>
        <row r="50">
          <cell r="A50" t="str">
            <v>FID 1928 2018</v>
          </cell>
        </row>
        <row r="52">
          <cell r="A52" t="str">
            <v>FISE 2021</v>
          </cell>
        </row>
        <row r="53">
          <cell r="A53" t="str">
            <v>PRODDER 2021</v>
          </cell>
        </row>
      </sheetData>
      <sheetData sheetId="1" refreshError="1"/>
      <sheetData sheetId="2" refreshError="1"/>
      <sheetData sheetId="3" refreshError="1"/>
      <sheetData sheetId="4" refreshError="1"/>
      <sheetData sheetId="5" refreshError="1"/>
      <sheetData sheetId="6" refreshError="1"/>
      <sheetData sheetId="7">
        <row r="2">
          <cell r="G2"/>
          <cell r="I2"/>
          <cell r="Y2"/>
          <cell r="EH2"/>
        </row>
        <row r="3">
          <cell r="G3"/>
          <cell r="I3"/>
          <cell r="Y3"/>
        </row>
        <row r="4">
          <cell r="G4"/>
          <cell r="I4"/>
          <cell r="Y4"/>
          <cell r="EH4"/>
        </row>
        <row r="5">
          <cell r="G5" t="str">
            <v>IMPORTE 
ASIGNADO</v>
          </cell>
          <cell r="I5" t="str">
            <v>RECURSO</v>
          </cell>
          <cell r="Y5" t="str">
            <v>IMPORTE CONTRATO FINAL C/IVA</v>
          </cell>
          <cell r="EH5" t="str">
            <v>TOTAL DEVENGADO</v>
          </cell>
        </row>
        <row r="6">
          <cell r="G6">
            <v>110</v>
          </cell>
          <cell r="I6">
            <v>110</v>
          </cell>
          <cell r="Y6">
            <v>110</v>
          </cell>
          <cell r="EH6">
            <v>110</v>
          </cell>
        </row>
        <row r="7">
          <cell r="G7">
            <v>15000000</v>
          </cell>
          <cell r="I7" t="str">
            <v>PAD NUEVO 2021</v>
          </cell>
          <cell r="Y7">
            <v>14881023.140000001</v>
          </cell>
          <cell r="EH7">
            <v>7416439.2000000011</v>
          </cell>
        </row>
        <row r="8">
          <cell r="G8">
            <v>650000</v>
          </cell>
          <cell r="I8" t="str">
            <v>FID 1928 2020</v>
          </cell>
          <cell r="Y8">
            <v>495013.96</v>
          </cell>
          <cell r="EH8">
            <v>440012.41</v>
          </cell>
        </row>
        <row r="9">
          <cell r="G9">
            <v>5000000</v>
          </cell>
          <cell r="I9" t="str">
            <v>FID 1928 2020</v>
          </cell>
          <cell r="Y9">
            <v>3421283.7</v>
          </cell>
          <cell r="EH9">
            <v>3421283.7000000007</v>
          </cell>
        </row>
        <row r="10">
          <cell r="G10">
            <v>1131399.0900000036</v>
          </cell>
          <cell r="I10" t="str">
            <v>FID 1928 2020</v>
          </cell>
          <cell r="Y10">
            <v>33450089.370000001</v>
          </cell>
          <cell r="EH10">
            <v>1163262.81</v>
          </cell>
        </row>
        <row r="11">
          <cell r="G11">
            <v>25000000</v>
          </cell>
          <cell r="I11" t="str">
            <v>FID 1928 2020</v>
          </cell>
          <cell r="Y11">
            <v>24474794.93</v>
          </cell>
          <cell r="EH11">
            <v>25019924.170000002</v>
          </cell>
        </row>
        <row r="12">
          <cell r="G12">
            <v>15000000</v>
          </cell>
          <cell r="I12" t="str">
            <v>FID 1928 2020</v>
          </cell>
          <cell r="Y12">
            <v>14897397.58</v>
          </cell>
          <cell r="EH12">
            <v>14897412.920000002</v>
          </cell>
        </row>
        <row r="13">
          <cell r="G13">
            <v>11400000</v>
          </cell>
          <cell r="I13" t="str">
            <v>PAD NUEVO 2021</v>
          </cell>
          <cell r="Y13">
            <v>11261831.279999999</v>
          </cell>
          <cell r="EH13">
            <v>8276139.9399999995</v>
          </cell>
        </row>
        <row r="14">
          <cell r="G14">
            <v>11400000</v>
          </cell>
          <cell r="I14" t="str">
            <v>PAD NUEVO 2021</v>
          </cell>
          <cell r="Y14">
            <v>10828763.529999999</v>
          </cell>
          <cell r="EH14">
            <v>8770684.75</v>
          </cell>
        </row>
        <row r="15">
          <cell r="G15">
            <v>5000000</v>
          </cell>
          <cell r="I15" t="str">
            <v>FID 1928 (2019)</v>
          </cell>
          <cell r="Y15"/>
          <cell r="EH15">
            <v>0</v>
          </cell>
        </row>
        <row r="16">
          <cell r="G16">
            <v>1600000</v>
          </cell>
          <cell r="I16" t="str">
            <v>FID 1928 (2020)</v>
          </cell>
          <cell r="Y16"/>
          <cell r="EH16">
            <v>0</v>
          </cell>
        </row>
        <row r="17">
          <cell r="G17">
            <v>6600000</v>
          </cell>
          <cell r="I17" t="str">
            <v>FID 1928 2020</v>
          </cell>
          <cell r="Y17">
            <v>6492175.4299999997</v>
          </cell>
          <cell r="EH17">
            <v>5961234.46</v>
          </cell>
        </row>
        <row r="18">
          <cell r="G18">
            <v>943322.68</v>
          </cell>
          <cell r="I18" t="str">
            <v>FID 1928 (2017)</v>
          </cell>
          <cell r="Y18"/>
          <cell r="EH18">
            <v>0</v>
          </cell>
        </row>
        <row r="19">
          <cell r="G19" t="e">
            <v>#REF!</v>
          </cell>
          <cell r="I19" t="str">
            <v>FID 1928 2018</v>
          </cell>
          <cell r="Y19">
            <v>1658438.68</v>
          </cell>
          <cell r="EH19">
            <v>1658438.6800000002</v>
          </cell>
        </row>
        <row r="20">
          <cell r="G20">
            <v>18000000</v>
          </cell>
          <cell r="I20" t="str">
            <v>PAD NUEVO 2021</v>
          </cell>
          <cell r="Y20">
            <v>17714824.77</v>
          </cell>
          <cell r="EH20">
            <v>10779499.48</v>
          </cell>
        </row>
        <row r="21">
          <cell r="G21">
            <v>1500000</v>
          </cell>
          <cell r="I21" t="str">
            <v>FID 1928 2021</v>
          </cell>
          <cell r="Y21"/>
          <cell r="EH21">
            <v>0</v>
          </cell>
        </row>
        <row r="22">
          <cell r="G22">
            <v>3100000</v>
          </cell>
          <cell r="I22" t="str">
            <v>FID 1928 2021</v>
          </cell>
          <cell r="Y22">
            <v>2756740.67</v>
          </cell>
          <cell r="EH22">
            <v>2616049.66</v>
          </cell>
        </row>
        <row r="23">
          <cell r="G23">
            <v>15000000</v>
          </cell>
          <cell r="I23" t="str">
            <v>FID 1928 2021</v>
          </cell>
          <cell r="Y23">
            <v>24939453.710000001</v>
          </cell>
          <cell r="EH23">
            <v>24938922.18</v>
          </cell>
        </row>
        <row r="24">
          <cell r="G24">
            <v>7500000</v>
          </cell>
          <cell r="I24" t="str">
            <v>FID 1928 2021</v>
          </cell>
          <cell r="Y24"/>
          <cell r="EH24">
            <v>0</v>
          </cell>
        </row>
        <row r="25">
          <cell r="G25">
            <v>38000000</v>
          </cell>
          <cell r="I25" t="str">
            <v>PAD NUEVO 2021</v>
          </cell>
          <cell r="Y25">
            <v>37790736.920000002</v>
          </cell>
          <cell r="EH25">
            <v>37790396.399999999</v>
          </cell>
        </row>
        <row r="26">
          <cell r="G26">
            <v>37000000</v>
          </cell>
          <cell r="I26" t="str">
            <v>PAD NUEVO 2021</v>
          </cell>
          <cell r="Y26">
            <v>36988104.68</v>
          </cell>
          <cell r="EH26">
            <v>31253653.240000002</v>
          </cell>
        </row>
        <row r="27">
          <cell r="G27">
            <v>35000000</v>
          </cell>
          <cell r="I27" t="str">
            <v>PAD NUEVO 2021</v>
          </cell>
          <cell r="Y27">
            <v>34812890.289999999</v>
          </cell>
          <cell r="EH27">
            <v>33158596.900000002</v>
          </cell>
        </row>
        <row r="28">
          <cell r="G28">
            <v>14000000</v>
          </cell>
          <cell r="I28" t="str">
            <v>PAD NUEVO 2021</v>
          </cell>
          <cell r="Y28">
            <v>13864866.949999999</v>
          </cell>
          <cell r="EH28">
            <v>13863848.400000002</v>
          </cell>
        </row>
        <row r="29">
          <cell r="G29">
            <v>14100000</v>
          </cell>
          <cell r="I29" t="str">
            <v>PAD NUEVO 2021</v>
          </cell>
          <cell r="Y29">
            <v>14051243.800000001</v>
          </cell>
          <cell r="EH29">
            <v>14051243.799999997</v>
          </cell>
        </row>
        <row r="30">
          <cell r="G30">
            <v>14000000</v>
          </cell>
          <cell r="I30" t="str">
            <v>PAD NUEVO 2021</v>
          </cell>
          <cell r="Y30">
            <v>13994456.48</v>
          </cell>
          <cell r="EH30">
            <v>7954617.2399999993</v>
          </cell>
        </row>
        <row r="31">
          <cell r="G31">
            <v>12000000</v>
          </cell>
          <cell r="I31" t="str">
            <v>PAD NUEVO 2021</v>
          </cell>
          <cell r="Y31">
            <v>6078751.5</v>
          </cell>
          <cell r="EH31">
            <v>4770351.7</v>
          </cell>
        </row>
        <row r="32">
          <cell r="G32">
            <v>15000000</v>
          </cell>
          <cell r="I32" t="str">
            <v>PAD NUEVO 2021</v>
          </cell>
          <cell r="Y32">
            <v>14906459.34</v>
          </cell>
          <cell r="EH32">
            <v>13921257.259999998</v>
          </cell>
        </row>
        <row r="33">
          <cell r="G33">
            <v>12000000</v>
          </cell>
          <cell r="I33" t="str">
            <v>PAD NUEVO 2021</v>
          </cell>
          <cell r="Y33">
            <v>11994731.460000001</v>
          </cell>
          <cell r="EH33">
            <v>11994731.42</v>
          </cell>
        </row>
        <row r="34">
          <cell r="G34">
            <v>0</v>
          </cell>
          <cell r="I34" t="str">
            <v>PAD NUEVO 2021</v>
          </cell>
          <cell r="Y34"/>
          <cell r="EH34">
            <v>0</v>
          </cell>
        </row>
        <row r="35">
          <cell r="G35">
            <v>11000000</v>
          </cell>
          <cell r="I35" t="str">
            <v>PAD NUEVO 2021</v>
          </cell>
          <cell r="Y35">
            <v>10994141.5</v>
          </cell>
          <cell r="EH35">
            <v>9294418.8300000001</v>
          </cell>
        </row>
        <row r="36">
          <cell r="G36">
            <v>18000000</v>
          </cell>
          <cell r="I36" t="str">
            <v>PAD NUEVO 2021</v>
          </cell>
          <cell r="Y36">
            <v>17999987.120000001</v>
          </cell>
          <cell r="EH36">
            <v>17993196.030000001</v>
          </cell>
        </row>
        <row r="37">
          <cell r="G37">
            <v>16500000</v>
          </cell>
          <cell r="I37" t="str">
            <v>PAD NUEVO 2021</v>
          </cell>
          <cell r="Y37">
            <v>16457980.75</v>
          </cell>
          <cell r="EH37">
            <v>16457362.300000001</v>
          </cell>
        </row>
        <row r="38">
          <cell r="G38">
            <v>10000000</v>
          </cell>
          <cell r="I38" t="str">
            <v>PAD NUEVO 2021</v>
          </cell>
          <cell r="Y38">
            <v>7578149.1399999997</v>
          </cell>
          <cell r="EH38">
            <v>4391611.2919999994</v>
          </cell>
        </row>
        <row r="39">
          <cell r="G39">
            <v>5500000</v>
          </cell>
          <cell r="I39" t="str">
            <v>PAD NUEVO 2021</v>
          </cell>
          <cell r="Y39">
            <v>5439796.9400000004</v>
          </cell>
          <cell r="EH39">
            <v>5437282.3300000001</v>
          </cell>
        </row>
        <row r="40">
          <cell r="G40">
            <v>5500000</v>
          </cell>
          <cell r="I40" t="str">
            <v>PAD NUEVO 2021</v>
          </cell>
          <cell r="Y40">
            <v>5399042.0099999998</v>
          </cell>
          <cell r="EH40">
            <v>5375199.7000000011</v>
          </cell>
        </row>
        <row r="41">
          <cell r="G41">
            <v>4000000</v>
          </cell>
          <cell r="I41" t="str">
            <v>PAD NUEVO 2021</v>
          </cell>
          <cell r="Y41">
            <v>2859841.11</v>
          </cell>
          <cell r="EH41">
            <v>2859840.3800000004</v>
          </cell>
        </row>
        <row r="42">
          <cell r="G42">
            <v>3500000</v>
          </cell>
          <cell r="I42" t="str">
            <v>PAD NUEVO 2021</v>
          </cell>
          <cell r="Y42">
            <v>2795306.31</v>
          </cell>
          <cell r="EH42">
            <v>2708338.31</v>
          </cell>
        </row>
        <row r="43">
          <cell r="G43">
            <v>1000000</v>
          </cell>
          <cell r="I43" t="str">
            <v>PAD NUEVO 2021</v>
          </cell>
          <cell r="Y43">
            <v>999999.92</v>
          </cell>
          <cell r="EH43">
            <v>996224.29999999981</v>
          </cell>
        </row>
        <row r="44">
          <cell r="G44">
            <v>9000000</v>
          </cell>
          <cell r="I44" t="str">
            <v>PAD NUEVO 2021</v>
          </cell>
          <cell r="Y44">
            <v>8024466.7999999998</v>
          </cell>
          <cell r="EH44">
            <v>7857176.4899999984</v>
          </cell>
        </row>
        <row r="45">
          <cell r="G45">
            <v>7000000</v>
          </cell>
          <cell r="I45" t="str">
            <v>PAD NUEVO 2021</v>
          </cell>
          <cell r="Y45">
            <v>6996505.2199999997</v>
          </cell>
          <cell r="EH45">
            <v>5934495.8100000005</v>
          </cell>
        </row>
        <row r="46">
          <cell r="G46">
            <v>12000000</v>
          </cell>
          <cell r="I46" t="str">
            <v>PAD NUEVO 2021</v>
          </cell>
          <cell r="Y46">
            <v>11977824.890000001</v>
          </cell>
          <cell r="EH46">
            <v>10056970.199999999</v>
          </cell>
        </row>
        <row r="47">
          <cell r="G47">
            <v>12000000</v>
          </cell>
          <cell r="I47" t="str">
            <v>PAD NUEVO 2021</v>
          </cell>
          <cell r="Y47">
            <v>11999198.76</v>
          </cell>
          <cell r="EH47">
            <v>8824054.7799999993</v>
          </cell>
        </row>
        <row r="48">
          <cell r="G48">
            <v>0</v>
          </cell>
          <cell r="I48" t="str">
            <v>PAD NUEVO 2021</v>
          </cell>
          <cell r="Y48"/>
          <cell r="EH48">
            <v>0</v>
          </cell>
        </row>
        <row r="49">
          <cell r="G49">
            <v>0</v>
          </cell>
          <cell r="I49" t="str">
            <v>PAD NUEVO 2021</v>
          </cell>
          <cell r="Y49"/>
          <cell r="EH49">
            <v>0</v>
          </cell>
        </row>
        <row r="50">
          <cell r="G50">
            <v>5500000</v>
          </cell>
          <cell r="I50" t="str">
            <v>PAD NUEVO 2021</v>
          </cell>
          <cell r="Y50">
            <v>5499042.3399999999</v>
          </cell>
          <cell r="EH50">
            <v>5491899.5099999998</v>
          </cell>
        </row>
        <row r="51">
          <cell r="G51">
            <v>4000000</v>
          </cell>
          <cell r="I51" t="str">
            <v>PAD NUEVO 2021</v>
          </cell>
          <cell r="Y51">
            <v>3993533.11</v>
          </cell>
          <cell r="EH51">
            <v>3988498.84</v>
          </cell>
        </row>
        <row r="52">
          <cell r="G52">
            <v>2000000</v>
          </cell>
          <cell r="I52" t="str">
            <v>PAD NUEVO 2021</v>
          </cell>
          <cell r="Y52"/>
          <cell r="EH52">
            <v>0</v>
          </cell>
        </row>
        <row r="53">
          <cell r="G53">
            <v>7000000</v>
          </cell>
          <cell r="I53" t="str">
            <v>PAD NUEVO 2021</v>
          </cell>
          <cell r="Y53">
            <v>6199975.3499999996</v>
          </cell>
          <cell r="EH53">
            <v>3033599.62</v>
          </cell>
        </row>
        <row r="54">
          <cell r="G54">
            <v>12000000</v>
          </cell>
          <cell r="I54" t="str">
            <v>PAD NUEVO 2021</v>
          </cell>
          <cell r="Y54">
            <v>6199279.5899999999</v>
          </cell>
          <cell r="EH54">
            <v>4951443.8900000006</v>
          </cell>
        </row>
        <row r="55">
          <cell r="G55">
            <v>40000000</v>
          </cell>
          <cell r="I55" t="str">
            <v>PAD NUEVO 2021</v>
          </cell>
          <cell r="Y55">
            <v>39964406.030000001</v>
          </cell>
          <cell r="EH55">
            <v>27679345.25</v>
          </cell>
        </row>
        <row r="56">
          <cell r="G56">
            <v>14000000</v>
          </cell>
          <cell r="I56" t="str">
            <v>FID 1928 2021</v>
          </cell>
          <cell r="Y56"/>
          <cell r="EH56">
            <v>0</v>
          </cell>
        </row>
        <row r="57">
          <cell r="G57">
            <v>0</v>
          </cell>
          <cell r="I57" t="str">
            <v>FID 1928 2021</v>
          </cell>
          <cell r="Y57"/>
          <cell r="EH57">
            <v>0</v>
          </cell>
        </row>
        <row r="58">
          <cell r="G58">
            <v>10000000</v>
          </cell>
          <cell r="I58" t="str">
            <v>FID 1928 2021</v>
          </cell>
          <cell r="Y58"/>
          <cell r="EH58">
            <v>0</v>
          </cell>
        </row>
        <row r="59">
          <cell r="G59">
            <v>6500000</v>
          </cell>
          <cell r="I59" t="str">
            <v>FID 1928 2021</v>
          </cell>
          <cell r="Y59"/>
          <cell r="EH59">
            <v>0</v>
          </cell>
        </row>
        <row r="60">
          <cell r="G60">
            <v>5500000</v>
          </cell>
          <cell r="I60" t="str">
            <v>FID 1928 2021</v>
          </cell>
          <cell r="Y60"/>
          <cell r="EH60">
            <v>0</v>
          </cell>
        </row>
        <row r="61">
          <cell r="G61">
            <v>5500000</v>
          </cell>
          <cell r="I61" t="str">
            <v>FID 1928 2021</v>
          </cell>
          <cell r="Y61"/>
          <cell r="EH61">
            <v>0</v>
          </cell>
        </row>
        <row r="62">
          <cell r="G62">
            <v>3000000</v>
          </cell>
          <cell r="I62" t="str">
            <v>FID 1928 2021</v>
          </cell>
          <cell r="Y62"/>
          <cell r="EH62">
            <v>0</v>
          </cell>
        </row>
        <row r="63">
          <cell r="G63">
            <v>0</v>
          </cell>
          <cell r="I63" t="str">
            <v>FID 1928 2021</v>
          </cell>
          <cell r="Y63"/>
          <cell r="EH63">
            <v>0</v>
          </cell>
        </row>
        <row r="64">
          <cell r="G64">
            <v>0</v>
          </cell>
          <cell r="I64" t="str">
            <v>FID 1928 2021</v>
          </cell>
          <cell r="Y64"/>
          <cell r="EH64">
            <v>0</v>
          </cell>
        </row>
        <row r="65">
          <cell r="G65">
            <v>4500000</v>
          </cell>
          <cell r="I65" t="str">
            <v>PAD NUEVO 2021</v>
          </cell>
          <cell r="Y65">
            <v>4441929.8600000003</v>
          </cell>
          <cell r="EH65">
            <v>3810068.2979999995</v>
          </cell>
        </row>
        <row r="66">
          <cell r="G66">
            <v>2019224.46</v>
          </cell>
          <cell r="I66" t="str">
            <v>PROAGUA</v>
          </cell>
          <cell r="Y66">
            <v>2019224.46</v>
          </cell>
          <cell r="EH66">
            <v>2014507.67</v>
          </cell>
        </row>
        <row r="67">
          <cell r="G67">
            <v>0</v>
          </cell>
          <cell r="I67" t="str">
            <v>PROAGUA</v>
          </cell>
          <cell r="Y67"/>
          <cell r="EH67">
            <v>0</v>
          </cell>
        </row>
        <row r="68">
          <cell r="G68">
            <v>1240500</v>
          </cell>
          <cell r="I68" t="str">
            <v>PROAGUA</v>
          </cell>
          <cell r="Y68">
            <v>1240448.98</v>
          </cell>
          <cell r="EH68">
            <v>1240301.58</v>
          </cell>
        </row>
        <row r="69">
          <cell r="G69">
            <v>7473216.6400000006</v>
          </cell>
          <cell r="I69" t="str">
            <v>PROAGUA</v>
          </cell>
          <cell r="Y69">
            <v>7473216.6399999997</v>
          </cell>
          <cell r="EH69">
            <v>7473212.3000000007</v>
          </cell>
        </row>
        <row r="70">
          <cell r="G70">
            <v>12352591.379999999</v>
          </cell>
          <cell r="I70" t="str">
            <v>PROAGUA</v>
          </cell>
          <cell r="Y70">
            <v>12352591.380000001</v>
          </cell>
          <cell r="EH70">
            <v>12350372.709999999</v>
          </cell>
        </row>
        <row r="71">
          <cell r="G71">
            <v>2999491.41</v>
          </cell>
          <cell r="I71" t="str">
            <v>PROAGUA</v>
          </cell>
          <cell r="Y71">
            <v>2999491.41</v>
          </cell>
          <cell r="EH71">
            <v>2999480.94</v>
          </cell>
        </row>
        <row r="72">
          <cell r="G72">
            <v>5958610.4100000001</v>
          </cell>
          <cell r="I72" t="str">
            <v>PROAGUA</v>
          </cell>
          <cell r="Y72">
            <v>5958610.4100000001</v>
          </cell>
          <cell r="EH72">
            <v>5957182.8300000001</v>
          </cell>
        </row>
        <row r="73">
          <cell r="G73">
            <v>4695915.7699999996</v>
          </cell>
          <cell r="I73" t="str">
            <v>PROAGUA</v>
          </cell>
          <cell r="Y73">
            <v>4695915.7699999996</v>
          </cell>
          <cell r="EH73">
            <v>4695913.2809999995</v>
          </cell>
        </row>
        <row r="74">
          <cell r="G74">
            <v>15248782</v>
          </cell>
          <cell r="I74" t="str">
            <v>PROAGUA</v>
          </cell>
          <cell r="Y74">
            <v>15248782</v>
          </cell>
          <cell r="EH74">
            <v>13028358.589999998</v>
          </cell>
        </row>
        <row r="75">
          <cell r="G75">
            <v>6992186.8399999999</v>
          </cell>
          <cell r="I75" t="str">
            <v>PROAGUA</v>
          </cell>
          <cell r="Y75">
            <v>6992186.8399999999</v>
          </cell>
          <cell r="EH75">
            <v>6992133.54</v>
          </cell>
        </row>
        <row r="76">
          <cell r="G76">
            <v>2159814.71</v>
          </cell>
          <cell r="I76" t="str">
            <v>PROAGUA</v>
          </cell>
          <cell r="Y76">
            <v>2159814.71</v>
          </cell>
          <cell r="EH76">
            <v>2142810.79</v>
          </cell>
        </row>
        <row r="77">
          <cell r="G77">
            <v>0</v>
          </cell>
          <cell r="I77" t="str">
            <v>PROAGUA</v>
          </cell>
          <cell r="Y77">
            <v>4990462.4000000004</v>
          </cell>
          <cell r="EH77">
            <v>250419.66</v>
          </cell>
        </row>
        <row r="78">
          <cell r="G78">
            <v>14698510.120000001</v>
          </cell>
          <cell r="I78" t="str">
            <v>PROAGUA</v>
          </cell>
          <cell r="Y78">
            <v>14698510.119999999</v>
          </cell>
          <cell r="EH78">
            <v>14698508.32</v>
          </cell>
        </row>
        <row r="79">
          <cell r="G79">
            <v>7972466.3900000006</v>
          </cell>
          <cell r="I79" t="str">
            <v>PROAGUA</v>
          </cell>
          <cell r="Y79">
            <v>7972466.3899999997</v>
          </cell>
          <cell r="EH79">
            <v>5886398</v>
          </cell>
        </row>
        <row r="80">
          <cell r="G80">
            <v>6000000</v>
          </cell>
          <cell r="I80" t="str">
            <v>PROAGUA</v>
          </cell>
          <cell r="Y80">
            <v>5977040.3399999999</v>
          </cell>
          <cell r="EH80">
            <v>5555281.1300000008</v>
          </cell>
        </row>
        <row r="81">
          <cell r="G81">
            <v>17597660.789999999</v>
          </cell>
          <cell r="I81" t="str">
            <v>PROAGUA</v>
          </cell>
          <cell r="Y81">
            <v>17597660.789999999</v>
          </cell>
          <cell r="EH81">
            <v>17584179.649999999</v>
          </cell>
        </row>
        <row r="82">
          <cell r="G82">
            <v>4996986.16</v>
          </cell>
          <cell r="I82" t="str">
            <v>PROAGUA</v>
          </cell>
          <cell r="Y82">
            <v>4996986.16</v>
          </cell>
          <cell r="EH82">
            <v>6683898.0500000007</v>
          </cell>
        </row>
        <row r="83">
          <cell r="G83">
            <v>17594182.639999997</v>
          </cell>
          <cell r="I83" t="str">
            <v>PROAGUA</v>
          </cell>
          <cell r="Y83">
            <v>17594182.640000001</v>
          </cell>
          <cell r="EH83">
            <v>17582397.800000001</v>
          </cell>
        </row>
        <row r="84">
          <cell r="G84">
            <v>0</v>
          </cell>
          <cell r="I84" t="str">
            <v>PROAGUA</v>
          </cell>
          <cell r="Y84"/>
          <cell r="EH84">
            <v>0</v>
          </cell>
        </row>
        <row r="85">
          <cell r="G85">
            <v>6500000</v>
          </cell>
          <cell r="I85" t="str">
            <v>PROAGUA</v>
          </cell>
          <cell r="Y85">
            <v>6469179.9800000004</v>
          </cell>
          <cell r="EH85">
            <v>6468969.4199999999</v>
          </cell>
        </row>
        <row r="86">
          <cell r="G86">
            <v>4818098.66</v>
          </cell>
          <cell r="I86" t="str">
            <v>PROAGUA</v>
          </cell>
          <cell r="Y86">
            <v>4818098.66</v>
          </cell>
          <cell r="EH86">
            <v>4809451.7300000004</v>
          </cell>
        </row>
        <row r="87">
          <cell r="G87">
            <v>7398152.8599999994</v>
          </cell>
          <cell r="I87" t="str">
            <v>PROAGUA</v>
          </cell>
          <cell r="Y87">
            <v>7398152.8600000003</v>
          </cell>
          <cell r="EH87">
            <v>4943594.67</v>
          </cell>
        </row>
        <row r="88">
          <cell r="G88">
            <v>14996749</v>
          </cell>
          <cell r="I88" t="str">
            <v>PROAGUA</v>
          </cell>
          <cell r="Y88">
            <v>14996749</v>
          </cell>
          <cell r="EH88">
            <v>14996747.459999999</v>
          </cell>
        </row>
        <row r="89">
          <cell r="G89">
            <v>6499847.2299999995</v>
          </cell>
          <cell r="I89" t="str">
            <v>PROAGUA</v>
          </cell>
          <cell r="Y89">
            <v>6499847.2300000004</v>
          </cell>
          <cell r="EH89">
            <v>6438539.5499999998</v>
          </cell>
        </row>
        <row r="90">
          <cell r="G90">
            <v>3639977.37</v>
          </cell>
          <cell r="I90" t="str">
            <v>PROAGUA</v>
          </cell>
          <cell r="Y90">
            <v>3639977.37</v>
          </cell>
          <cell r="EH90">
            <v>3489080.04</v>
          </cell>
        </row>
        <row r="91">
          <cell r="G91">
            <v>3081386.9099999997</v>
          </cell>
          <cell r="I91" t="str">
            <v>PROAGUA</v>
          </cell>
          <cell r="Y91">
            <v>3081386.91</v>
          </cell>
          <cell r="EH91">
            <v>3081386.82</v>
          </cell>
        </row>
        <row r="92">
          <cell r="G92">
            <v>8282590.7600000007</v>
          </cell>
          <cell r="I92" t="str">
            <v>PROAGUA</v>
          </cell>
          <cell r="Y92">
            <v>8282590.7599999998</v>
          </cell>
          <cell r="EH92">
            <v>8259720.6400000006</v>
          </cell>
        </row>
        <row r="93">
          <cell r="G93">
            <v>0</v>
          </cell>
          <cell r="I93" t="str">
            <v>PROAGUA</v>
          </cell>
          <cell r="Y93"/>
          <cell r="EH93">
            <v>0</v>
          </cell>
        </row>
        <row r="94">
          <cell r="G94">
            <v>13990123.470000001</v>
          </cell>
          <cell r="I94" t="str">
            <v>PROAGUA</v>
          </cell>
          <cell r="Y94">
            <v>13990123.470000001</v>
          </cell>
          <cell r="EH94">
            <v>13988624.191</v>
          </cell>
        </row>
        <row r="95">
          <cell r="G95">
            <v>5864030.5700000003</v>
          </cell>
          <cell r="I95" t="str">
            <v>PROAGUA</v>
          </cell>
          <cell r="Y95">
            <v>5864030.5700000003</v>
          </cell>
          <cell r="EH95">
            <v>5126728.5</v>
          </cell>
        </row>
        <row r="96">
          <cell r="G96">
            <v>11927451.32</v>
          </cell>
          <cell r="I96" t="str">
            <v>PROAGUA</v>
          </cell>
          <cell r="Y96">
            <v>11927451.32</v>
          </cell>
          <cell r="EH96">
            <v>7113698.2699999996</v>
          </cell>
        </row>
        <row r="97">
          <cell r="G97">
            <v>3100000</v>
          </cell>
          <cell r="I97" t="str">
            <v>PROAGUA</v>
          </cell>
          <cell r="Y97">
            <v>3098000.64</v>
          </cell>
          <cell r="EH97">
            <v>2912678.95</v>
          </cell>
        </row>
        <row r="98">
          <cell r="G98">
            <v>15979802.450000001</v>
          </cell>
          <cell r="I98" t="str">
            <v>PROAGUA</v>
          </cell>
          <cell r="Y98">
            <v>15979802.449999999</v>
          </cell>
          <cell r="EH98">
            <v>11170095.18</v>
          </cell>
        </row>
        <row r="99">
          <cell r="G99">
            <v>3468527.47</v>
          </cell>
          <cell r="I99" t="str">
            <v>PROAGUA</v>
          </cell>
          <cell r="Y99">
            <v>3468527.47</v>
          </cell>
          <cell r="EH99">
            <v>3468527.47</v>
          </cell>
        </row>
        <row r="100">
          <cell r="G100">
            <v>4993411.1199999992</v>
          </cell>
          <cell r="I100" t="str">
            <v>PROAGUA</v>
          </cell>
          <cell r="Y100">
            <v>4993411.12</v>
          </cell>
          <cell r="EH100">
            <v>4983468.5</v>
          </cell>
        </row>
        <row r="101">
          <cell r="G101">
            <v>2286873.4400000004</v>
          </cell>
          <cell r="I101" t="str">
            <v>PROAGUA</v>
          </cell>
          <cell r="Y101">
            <v>1275396.97</v>
          </cell>
          <cell r="EH101">
            <v>1274485.9100000001</v>
          </cell>
        </row>
        <row r="102">
          <cell r="G102">
            <v>100000</v>
          </cell>
          <cell r="I102" t="str">
            <v>PROAGUA</v>
          </cell>
          <cell r="Y102">
            <v>100000</v>
          </cell>
          <cell r="EH102">
            <v>86206.9</v>
          </cell>
        </row>
        <row r="103">
          <cell r="G103">
            <v>7332324.8900000006</v>
          </cell>
          <cell r="I103" t="str">
            <v>PROAGUA</v>
          </cell>
          <cell r="Y103">
            <v>7332324.8900000006</v>
          </cell>
          <cell r="EH103">
            <v>0</v>
          </cell>
        </row>
        <row r="104">
          <cell r="G104">
            <v>1968000</v>
          </cell>
          <cell r="I104" t="str">
            <v>PROAGUA</v>
          </cell>
          <cell r="Y104">
            <v>1968000</v>
          </cell>
          <cell r="EH104">
            <v>0</v>
          </cell>
        </row>
        <row r="105">
          <cell r="G105">
            <v>7500000</v>
          </cell>
          <cell r="I105" t="str">
            <v>PROAGUA</v>
          </cell>
          <cell r="Y105">
            <v>5175987.5999999996</v>
          </cell>
          <cell r="EH105">
            <v>4785009.51</v>
          </cell>
        </row>
        <row r="106">
          <cell r="G106">
            <v>13000000</v>
          </cell>
          <cell r="I106" t="str">
            <v>PROAGUA</v>
          </cell>
          <cell r="Y106">
            <v>12960761.32</v>
          </cell>
          <cell r="EH106">
            <v>12960230.26</v>
          </cell>
        </row>
        <row r="107">
          <cell r="G107">
            <v>7000000</v>
          </cell>
          <cell r="I107" t="str">
            <v>PROAGUA</v>
          </cell>
          <cell r="Y107">
            <v>6994898.7000000002</v>
          </cell>
          <cell r="EH107">
            <v>6203134.6400000006</v>
          </cell>
        </row>
        <row r="108">
          <cell r="G108">
            <v>7000000</v>
          </cell>
          <cell r="I108" t="str">
            <v>PROAGUA</v>
          </cell>
          <cell r="Y108">
            <v>6998000</v>
          </cell>
          <cell r="EH108">
            <v>4061252.6899999995</v>
          </cell>
        </row>
        <row r="109">
          <cell r="G109">
            <v>15000000</v>
          </cell>
          <cell r="I109" t="str">
            <v>PROAGUA</v>
          </cell>
          <cell r="Y109">
            <v>14897521.68</v>
          </cell>
          <cell r="EH109">
            <v>14889980.420000002</v>
          </cell>
        </row>
        <row r="110">
          <cell r="G110">
            <v>2000000</v>
          </cell>
          <cell r="I110" t="str">
            <v>PROAGUA</v>
          </cell>
          <cell r="Y110">
            <v>1998867.51</v>
          </cell>
          <cell r="EH110">
            <v>1998614.9900000002</v>
          </cell>
        </row>
        <row r="111">
          <cell r="G111">
            <v>14000000</v>
          </cell>
          <cell r="I111" t="str">
            <v>PROAGUA</v>
          </cell>
          <cell r="Y111">
            <v>13985452.220000001</v>
          </cell>
          <cell r="EH111">
            <v>6249029.8900000006</v>
          </cell>
        </row>
        <row r="112">
          <cell r="G112">
            <v>8756445.5999999996</v>
          </cell>
          <cell r="I112" t="str">
            <v>PROAGUA</v>
          </cell>
          <cell r="Y112">
            <v>8690000</v>
          </cell>
          <cell r="EH112">
            <v>6884093.9100000001</v>
          </cell>
        </row>
        <row r="113">
          <cell r="G113">
            <v>48000000</v>
          </cell>
          <cell r="I113" t="str">
            <v>FID 1928 2020</v>
          </cell>
          <cell r="Y113">
            <v>46084085.859999999</v>
          </cell>
          <cell r="EH113">
            <v>46084056.290000007</v>
          </cell>
        </row>
        <row r="114">
          <cell r="G114">
            <v>20981668.739999998</v>
          </cell>
          <cell r="I114" t="str">
            <v>FISE 2021</v>
          </cell>
          <cell r="Y114">
            <v>20988495.829999998</v>
          </cell>
          <cell r="EH114">
            <v>20981668.740000002</v>
          </cell>
        </row>
        <row r="115">
          <cell r="G115">
            <v>18971194.309999999</v>
          </cell>
          <cell r="I115" t="str">
            <v>FISE 2021</v>
          </cell>
          <cell r="Y115">
            <v>18990419.109999999</v>
          </cell>
          <cell r="EH115">
            <v>18971194.300000001</v>
          </cell>
        </row>
        <row r="116">
          <cell r="G116">
            <v>15995506.15</v>
          </cell>
          <cell r="I116" t="str">
            <v>FISE 2021</v>
          </cell>
          <cell r="Y116">
            <v>15999864.33</v>
          </cell>
          <cell r="EH116">
            <v>15995506.149999999</v>
          </cell>
        </row>
        <row r="117">
          <cell r="G117">
            <v>0</v>
          </cell>
          <cell r="I117" t="str">
            <v>FISE 2021</v>
          </cell>
          <cell r="Y117"/>
          <cell r="EH117">
            <v>0</v>
          </cell>
        </row>
        <row r="118">
          <cell r="G118">
            <v>10973323.800000001</v>
          </cell>
          <cell r="I118" t="str">
            <v>FISE 2021</v>
          </cell>
          <cell r="Y118">
            <v>13786351.9</v>
          </cell>
          <cell r="EH118">
            <v>10973323.799999999</v>
          </cell>
        </row>
        <row r="119">
          <cell r="G119">
            <v>0</v>
          </cell>
          <cell r="I119" t="str">
            <v>FISE 2021</v>
          </cell>
          <cell r="Y119"/>
          <cell r="EH119">
            <v>0</v>
          </cell>
        </row>
        <row r="120">
          <cell r="G120">
            <v>0</v>
          </cell>
          <cell r="I120" t="str">
            <v>FISE 2021</v>
          </cell>
          <cell r="Y120"/>
          <cell r="EH120">
            <v>0</v>
          </cell>
        </row>
        <row r="121">
          <cell r="G121">
            <v>11552612.550000001</v>
          </cell>
          <cell r="I121" t="str">
            <v>FISE 2021</v>
          </cell>
          <cell r="Y121">
            <v>13335492.01</v>
          </cell>
          <cell r="EH121">
            <v>11551612.550000001</v>
          </cell>
        </row>
        <row r="122">
          <cell r="G122">
            <v>11138761.010000002</v>
          </cell>
          <cell r="I122" t="str">
            <v>FISE 2021</v>
          </cell>
          <cell r="Y122">
            <v>11297720.800000001</v>
          </cell>
          <cell r="EH122">
            <v>11138761.01</v>
          </cell>
        </row>
        <row r="123">
          <cell r="G123">
            <v>0</v>
          </cell>
          <cell r="I123" t="str">
            <v>FISE 2021</v>
          </cell>
          <cell r="Y123"/>
          <cell r="EH123">
            <v>0</v>
          </cell>
        </row>
        <row r="124">
          <cell r="G124">
            <v>0</v>
          </cell>
          <cell r="I124" t="str">
            <v>FISE 2021</v>
          </cell>
          <cell r="Y124"/>
          <cell r="EH124">
            <v>0</v>
          </cell>
        </row>
        <row r="125">
          <cell r="G125">
            <v>0</v>
          </cell>
          <cell r="I125" t="str">
            <v>FISE 2021</v>
          </cell>
          <cell r="Y125"/>
          <cell r="EH125">
            <v>0</v>
          </cell>
        </row>
        <row r="126">
          <cell r="G126">
            <v>0</v>
          </cell>
          <cell r="I126" t="str">
            <v>FISE 2021</v>
          </cell>
          <cell r="Y126"/>
          <cell r="EH126">
            <v>0</v>
          </cell>
        </row>
        <row r="127">
          <cell r="G127">
            <v>6918776.7700000005</v>
          </cell>
          <cell r="I127" t="str">
            <v>FISE 2021</v>
          </cell>
          <cell r="Y127">
            <v>6924407.4900000002</v>
          </cell>
          <cell r="EH127">
            <v>6918776.7699999996</v>
          </cell>
        </row>
        <row r="128">
          <cell r="G128">
            <v>6949349.6600000001</v>
          </cell>
          <cell r="I128" t="str">
            <v>FISE 2021</v>
          </cell>
          <cell r="Y128">
            <v>6988741.96</v>
          </cell>
          <cell r="EH128">
            <v>6949349.6600000001</v>
          </cell>
        </row>
        <row r="129">
          <cell r="G129">
            <v>6903229.2300000004</v>
          </cell>
          <cell r="I129" t="str">
            <v>FISE 2021</v>
          </cell>
          <cell r="Y129">
            <v>6995000</v>
          </cell>
          <cell r="EH129">
            <v>6903229.2300000004</v>
          </cell>
        </row>
        <row r="130">
          <cell r="G130">
            <v>6923619.1399999997</v>
          </cell>
          <cell r="I130" t="str">
            <v>FISE 2021</v>
          </cell>
          <cell r="Y130">
            <v>6989969.7599999998</v>
          </cell>
          <cell r="EH130">
            <v>6923619.1400000006</v>
          </cell>
        </row>
        <row r="131">
          <cell r="G131">
            <v>6704019.8200000003</v>
          </cell>
          <cell r="I131" t="str">
            <v>FISE 2021</v>
          </cell>
          <cell r="Y131">
            <v>6850000</v>
          </cell>
          <cell r="EH131">
            <v>6704019.8200000003</v>
          </cell>
        </row>
        <row r="132">
          <cell r="G132">
            <v>0</v>
          </cell>
          <cell r="I132" t="str">
            <v>FISE 2021</v>
          </cell>
          <cell r="Y132"/>
          <cell r="EH132">
            <v>0</v>
          </cell>
        </row>
        <row r="133">
          <cell r="G133">
            <v>3954934.7199999997</v>
          </cell>
          <cell r="I133" t="str">
            <v>FISE 2021</v>
          </cell>
          <cell r="Y133">
            <v>3957115.8</v>
          </cell>
          <cell r="EH133">
            <v>3954934.7199999997</v>
          </cell>
        </row>
        <row r="134">
          <cell r="G134">
            <v>0</v>
          </cell>
          <cell r="I134" t="str">
            <v>FISE 2021</v>
          </cell>
          <cell r="Y134"/>
          <cell r="EH134">
            <v>0</v>
          </cell>
        </row>
        <row r="135">
          <cell r="G135">
            <v>3390802.93</v>
          </cell>
          <cell r="I135" t="str">
            <v>FISE 2021</v>
          </cell>
          <cell r="Y135">
            <v>44280</v>
          </cell>
          <cell r="EH135">
            <v>3390722.9330000002</v>
          </cell>
        </row>
        <row r="136">
          <cell r="G136">
            <v>0</v>
          </cell>
          <cell r="I136" t="str">
            <v>FISE 2021</v>
          </cell>
          <cell r="Y136"/>
          <cell r="EH136">
            <v>0</v>
          </cell>
        </row>
        <row r="137">
          <cell r="G137">
            <v>2495222.7599999998</v>
          </cell>
          <cell r="I137" t="str">
            <v>FISE 2021</v>
          </cell>
          <cell r="Y137">
            <v>2497581.5499999998</v>
          </cell>
          <cell r="EH137">
            <v>2495222.7599999998</v>
          </cell>
        </row>
        <row r="138">
          <cell r="G138">
            <v>0</v>
          </cell>
          <cell r="I138" t="str">
            <v>FISE 2021</v>
          </cell>
          <cell r="Y138"/>
          <cell r="EH138">
            <v>0</v>
          </cell>
        </row>
        <row r="139">
          <cell r="G139">
            <v>0</v>
          </cell>
          <cell r="I139" t="str">
            <v>FISE 2021</v>
          </cell>
          <cell r="Y139"/>
          <cell r="EH139">
            <v>0</v>
          </cell>
        </row>
        <row r="140">
          <cell r="G140">
            <v>0</v>
          </cell>
          <cell r="I140" t="str">
            <v>FISE 2021</v>
          </cell>
          <cell r="Y140"/>
          <cell r="EH140">
            <v>0</v>
          </cell>
        </row>
        <row r="141">
          <cell r="G141">
            <v>0</v>
          </cell>
          <cell r="I141" t="str">
            <v>FISE 2021</v>
          </cell>
          <cell r="Y141"/>
          <cell r="EH141">
            <v>0</v>
          </cell>
        </row>
        <row r="142">
          <cell r="G142">
            <v>8164295.5</v>
          </cell>
          <cell r="I142" t="str">
            <v>FISE 2021</v>
          </cell>
          <cell r="Y142">
            <v>8275064.8899999997</v>
          </cell>
          <cell r="EH142">
            <v>8164295.5</v>
          </cell>
        </row>
        <row r="143">
          <cell r="G143">
            <v>52500000</v>
          </cell>
          <cell r="I143" t="str">
            <v>FID 1928 2021</v>
          </cell>
          <cell r="Y143"/>
          <cell r="EH143">
            <v>0</v>
          </cell>
        </row>
        <row r="144">
          <cell r="G144">
            <v>3482715.8000000003</v>
          </cell>
          <cell r="I144" t="str">
            <v>PRODDER 2021</v>
          </cell>
          <cell r="Y144">
            <v>6117140.04</v>
          </cell>
          <cell r="EH144">
            <v>3482715.7999999993</v>
          </cell>
        </row>
        <row r="145">
          <cell r="G145">
            <v>1399723.1800000002</v>
          </cell>
          <cell r="I145" t="str">
            <v>PRODDER 2021</v>
          </cell>
          <cell r="Y145">
            <v>1399724.4167999998</v>
          </cell>
          <cell r="EH145">
            <v>1408577.96</v>
          </cell>
        </row>
        <row r="146">
          <cell r="G146">
            <v>2481853.54</v>
          </cell>
          <cell r="I146" t="str">
            <v>PRODDER 2021</v>
          </cell>
          <cell r="Y146">
            <v>3955677.17</v>
          </cell>
          <cell r="EH146">
            <v>2481853.5499999998</v>
          </cell>
        </row>
        <row r="147">
          <cell r="G147">
            <v>3098536.23</v>
          </cell>
          <cell r="I147" t="str">
            <v>PRODDER 2021</v>
          </cell>
          <cell r="Y147">
            <v>3098560.2043999997</v>
          </cell>
          <cell r="EH147">
            <v>3098536.2300000004</v>
          </cell>
        </row>
        <row r="148">
          <cell r="G148">
            <v>6600343.4000000004</v>
          </cell>
          <cell r="I148" t="str">
            <v>PRODDER 2021</v>
          </cell>
          <cell r="Y148">
            <v>7276333.4151999988</v>
          </cell>
          <cell r="EH148">
            <v>6602280.0600000005</v>
          </cell>
        </row>
        <row r="149">
          <cell r="G149">
            <v>5407669.7800000003</v>
          </cell>
          <cell r="I149" t="str">
            <v>PRODDER 2021</v>
          </cell>
          <cell r="Y149">
            <v>5598890.1968</v>
          </cell>
          <cell r="EH149">
            <v>5407669.7799999993</v>
          </cell>
        </row>
        <row r="150">
          <cell r="G150">
            <v>1762738.07</v>
          </cell>
          <cell r="I150" t="str">
            <v>PRODDER 2021</v>
          </cell>
          <cell r="Y150">
            <v>2062638.22</v>
          </cell>
          <cell r="EH150">
            <v>1766670.76</v>
          </cell>
        </row>
        <row r="151">
          <cell r="G151">
            <v>2598588.35</v>
          </cell>
          <cell r="I151" t="str">
            <v>PRODDER 2021</v>
          </cell>
          <cell r="Y151">
            <v>2598912.1052000001</v>
          </cell>
          <cell r="EH151">
            <v>2604559.5999999996</v>
          </cell>
        </row>
        <row r="152">
          <cell r="G152">
            <v>1699265.75</v>
          </cell>
          <cell r="I152" t="str">
            <v>PRODDER 2021</v>
          </cell>
          <cell r="Y152">
            <v>1699821.95</v>
          </cell>
          <cell r="EH152">
            <v>1699265.75</v>
          </cell>
        </row>
        <row r="153">
          <cell r="G153">
            <v>436900000</v>
          </cell>
          <cell r="I153"/>
          <cell r="Y153">
            <v>414989090.88999999</v>
          </cell>
          <cell r="EH153">
            <v>351142485.88999993</v>
          </cell>
        </row>
        <row r="154">
          <cell r="G154">
            <v>330483932.83999991</v>
          </cell>
          <cell r="I154"/>
          <cell r="Y154">
            <v>331852132.13999999</v>
          </cell>
          <cell r="EH154">
            <v>287778707.352</v>
          </cell>
        </row>
        <row r="155">
          <cell r="G155" t="e">
            <v>#REF!</v>
          </cell>
          <cell r="I155"/>
          <cell r="Y155" t="e">
            <v>#REF!</v>
          </cell>
          <cell r="EH155" t="e">
            <v>#REF!</v>
          </cell>
        </row>
        <row r="156">
          <cell r="G156" t="e">
            <v>#REF!</v>
          </cell>
          <cell r="I156"/>
          <cell r="Y156">
            <v>130973279.51000001</v>
          </cell>
          <cell r="EH156">
            <v>98645625.440000013</v>
          </cell>
        </row>
        <row r="157">
          <cell r="G157">
            <v>142017317.09000003</v>
          </cell>
          <cell r="I157"/>
          <cell r="Y157">
            <v>143920505.42999998</v>
          </cell>
          <cell r="EH157">
            <v>142016237.083</v>
          </cell>
        </row>
        <row r="158">
          <cell r="G158">
            <v>173535648.35000002</v>
          </cell>
          <cell r="I158"/>
          <cell r="Y158">
            <v>33807697.718400002</v>
          </cell>
          <cell r="EH158">
            <v>28552129.490000002</v>
          </cell>
        </row>
        <row r="159">
          <cell r="G159" t="e">
            <v>#REF!</v>
          </cell>
          <cell r="I159"/>
          <cell r="Y159" t="e">
            <v>#REF!</v>
          </cell>
          <cell r="EH159" t="e">
            <v>#REF!</v>
          </cell>
        </row>
        <row r="160">
          <cell r="G160" t="e">
            <v>#REF!</v>
          </cell>
          <cell r="Y160" t="e">
            <v>#REF!</v>
          </cell>
          <cell r="EH160" t="e">
            <v>#REF!</v>
          </cell>
        </row>
        <row r="161">
          <cell r="G161"/>
        </row>
        <row r="162">
          <cell r="Y162"/>
        </row>
        <row r="163">
          <cell r="Y163"/>
          <cell r="EH163"/>
        </row>
        <row r="164">
          <cell r="I164" t="str">
            <v>NO. OBRAS</v>
          </cell>
          <cell r="Y164" t="str">
            <v>MONTOS CONTRATADOS</v>
          </cell>
        </row>
        <row r="165">
          <cell r="G165"/>
          <cell r="I165">
            <v>161</v>
          </cell>
          <cell r="Y165">
            <v>2028790784.98</v>
          </cell>
        </row>
        <row r="166">
          <cell r="I166">
            <v>40</v>
          </cell>
          <cell r="Y166">
            <v>899310972.32000005</v>
          </cell>
        </row>
        <row r="167">
          <cell r="I167">
            <v>47</v>
          </cell>
          <cell r="Y167">
            <v>322451807.25</v>
          </cell>
        </row>
        <row r="168">
          <cell r="I168">
            <v>36</v>
          </cell>
          <cell r="Y168">
            <v>414989090.88999999</v>
          </cell>
        </row>
        <row r="169">
          <cell r="I169">
            <v>29</v>
          </cell>
          <cell r="Y169">
            <v>147274832.84</v>
          </cell>
        </row>
        <row r="170">
          <cell r="I170">
            <v>9</v>
          </cell>
          <cell r="Y170">
            <v>33807697.719999999</v>
          </cell>
        </row>
        <row r="171">
          <cell r="I171"/>
          <cell r="Y171">
            <v>120589945.52000001</v>
          </cell>
        </row>
        <row r="172">
          <cell r="I172"/>
          <cell r="Y172">
            <v>90366438.439999998</v>
          </cell>
        </row>
        <row r="176">
          <cell r="Y176">
            <v>526349968.31999999</v>
          </cell>
        </row>
        <row r="177">
          <cell r="Y177">
            <v>18784229.460000001</v>
          </cell>
        </row>
        <row r="178">
          <cell r="Y178">
            <v>203657914.75999999</v>
          </cell>
        </row>
        <row r="179">
          <cell r="Y179">
            <v>748792112.53999996</v>
          </cell>
        </row>
        <row r="184">
          <cell r="Y184">
            <v>120589945.52000001</v>
          </cell>
        </row>
        <row r="189">
          <cell r="Y189">
            <v>294399145.37</v>
          </cell>
        </row>
      </sheetData>
      <sheetData sheetId="8"/>
      <sheetData sheetId="9"/>
      <sheetData sheetId="10"/>
    </sheetDataSet>
  </externalBook>
</externalLink>
</file>

<file path=xl/richData/_rels/richValueRel.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9">
  <rv s="0">
    <v>0</v>
    <v>5</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 s="0">
    <v>17</v>
    <v>5</v>
  </rv>
  <rv s="0">
    <v>18</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17"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FISE-0309-22.pdf" TargetMode="External"/><Relationship Id="rId21"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234-22.pdf" TargetMode="External"/><Relationship Id="rId42"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247-22.pdf" TargetMode="External"/><Relationship Id="rId63"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FISE-0309-22.pdf" TargetMode="External"/><Relationship Id="rId84"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424-22.pdf" TargetMode="External"/><Relationship Id="rId138"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756-22.pdf" TargetMode="External"/><Relationship Id="rId159" Type="http://schemas.openxmlformats.org/officeDocument/2006/relationships/hyperlink" Target="../../../../../Users/jsolis/AppData/Roaming/Microsoft/Users/jsolis/AppData/Roaming/Microsoft/Excel/OFICIOS%202022%20ASIGNACI&#211;N,%20AUTORIZACI&#211;N%20Y%20CANCELACI&#211;N/20704000L-CAPAD-00776-22.pdf" TargetMode="External"/><Relationship Id="rId170" Type="http://schemas.openxmlformats.org/officeDocument/2006/relationships/hyperlink" Target="../../../../../Users/jsolis/AppData/Roaming/Microsoft/Users/jsolis/AppData/Roaming/Microsoft/Excel/OFICIOS%202022%20ASIGNACI&#211;N,%20AUTORIZACI&#211;N%20Y%20CANCELACI&#211;N/20704000L-CAPAD-00776-22.pdf" TargetMode="External"/><Relationship Id="rId191" Type="http://schemas.openxmlformats.org/officeDocument/2006/relationships/hyperlink" Target="../../../../../Users/jsolis/AppData/Roaming/Microsoft/Excel/OFICIOS%202022%20ASIGNACI&#211;N,%20AUTORIZACI&#211;N%20Y%20CANCELACI&#211;N/20704000L-APAD-FISE-1145-22.pdf" TargetMode="External"/><Relationship Id="rId205" Type="http://schemas.openxmlformats.org/officeDocument/2006/relationships/hyperlink" Target="../../../../../Users/jsolis/AppData/Roaming/Microsoft/Excel/OFICIOS%202022%20ASIGNACI&#211;N,%20AUTORIZACI&#211;N%20Y%20CANCELACI&#211;N/20704000L-APAD-1184-22.pdf" TargetMode="External"/><Relationship Id="rId107"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OF-0367-22.pdf" TargetMode="External"/><Relationship Id="rId11"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173-22.pdf" TargetMode="External"/><Relationship Id="rId32"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247-22.pdf" TargetMode="External"/><Relationship Id="rId53"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FISE-0309-22.pdf" TargetMode="External"/><Relationship Id="rId74"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420-22.pdf" TargetMode="External"/><Relationship Id="rId128"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FISE-0309-22.pdf" TargetMode="External"/><Relationship Id="rId149" Type="http://schemas.openxmlformats.org/officeDocument/2006/relationships/hyperlink" Target="../../../../../Users/jsolis/AppData/Roaming/Microsoft/Users/jsolis/AppData/Roaming/Microsoft/Excel/OFICIOS%202022%20ASIGNACI&#211;N,%20AUTORIZACI&#211;N%20Y%20CANCELACI&#211;N/20704000L-CAPAD-OF-0937-22.pdf" TargetMode="External"/><Relationship Id="rId5"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OF-0004-22.pdf" TargetMode="External"/><Relationship Id="rId95"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465-22.pdf" TargetMode="External"/><Relationship Id="rId160" Type="http://schemas.openxmlformats.org/officeDocument/2006/relationships/hyperlink" Target="../../../../../Users/jsolis/AppData/Roaming/Microsoft/Users/jsolis/AppData/Roaming/Microsoft/Excel/OFICIOS%202022%20ASIGNACI&#211;N,%20AUTORIZACI&#211;N%20Y%20CANCELACI&#211;N/20704000L-CAPAD-00776-22.pdf" TargetMode="External"/><Relationship Id="rId181" Type="http://schemas.openxmlformats.org/officeDocument/2006/relationships/hyperlink" Target="../../../../../Users/jsolis/AppData/Roaming/Microsoft/Excel/OFICIOS%202022%20ASIGNACI&#211;N,%20AUTORIZACI&#211;N%20Y%20CANCELACI&#211;N/20704000L-APAD-FISE-1145-22.pdf" TargetMode="External"/><Relationship Id="rId22"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OF-1242-21.pdf" TargetMode="External"/><Relationship Id="rId43"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247-22.pdf" TargetMode="External"/><Relationship Id="rId64"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FISE-0309-22.pdf" TargetMode="External"/><Relationship Id="rId118"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FISE-0309-22.pdf" TargetMode="External"/><Relationship Id="rId139"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753-22.pdf" TargetMode="External"/><Relationship Id="rId85"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424-22.pdf" TargetMode="External"/><Relationship Id="rId150" Type="http://schemas.openxmlformats.org/officeDocument/2006/relationships/hyperlink" Target="../../../../../Users/jsolis/AppData/Roaming/Microsoft/Users/jsolis/AppData/Roaming/Microsoft/Excel/OFICIOS%202022%20ASIGNACI&#211;N,%20AUTORIZACI&#211;N%20Y%20CANCELACI&#211;N/20704000L-CAPAD-00776-22.pdf" TargetMode="External"/><Relationship Id="rId171" Type="http://schemas.openxmlformats.org/officeDocument/2006/relationships/hyperlink" Target="../../../../../Users/jsolis/AppData/Roaming/Microsoft/Users/jsolis/AppData/Roaming/Microsoft/Excel/OFICIOS%202022%20ASIGNACI&#211;N,%20AUTORIZACI&#211;N%20Y%20CANCELACI&#211;N/20704000L-CAPAD-00776-22.pdf" TargetMode="External"/><Relationship Id="rId192" Type="http://schemas.openxmlformats.org/officeDocument/2006/relationships/hyperlink" Target="../../../../../Users/jsolis/AppData/Roaming/Microsoft/Excel/OFICIOS%202022%20ASIGNACI&#211;N,%20AUTORIZACI&#211;N%20Y%20CANCELACI&#211;N/20704000L-APAD-FISE-1145-22.pdf" TargetMode="External"/><Relationship Id="rId206" Type="http://schemas.openxmlformats.org/officeDocument/2006/relationships/hyperlink" Target="../../../../../Users/jsolis/AppData/Roaming/Microsoft/Excel/OFICIOS%202022%20ASIGNACI&#211;N,%20AUTORIZACI&#211;N%20Y%20CANCELACI&#211;N/20704000L-APAD-1186-22.pdf" TargetMode="External"/><Relationship Id="rId12"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173-22.pdf" TargetMode="External"/><Relationship Id="rId33"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247-22.pdf" TargetMode="External"/><Relationship Id="rId108"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OF-0367-22.pdf" TargetMode="External"/><Relationship Id="rId129"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FISE-0309-22.pdf" TargetMode="External"/><Relationship Id="rId54"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FISE-0309-22.pdf" TargetMode="External"/><Relationship Id="rId75"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432-22.pdf" TargetMode="External"/><Relationship Id="rId96"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465-22.pdf" TargetMode="External"/><Relationship Id="rId140"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754-22.pdf" TargetMode="External"/><Relationship Id="rId161" Type="http://schemas.openxmlformats.org/officeDocument/2006/relationships/hyperlink" Target="../../../../../Users/jsolis/AppData/Roaming/Microsoft/Users/jsolis/AppData/Roaming/Microsoft/Excel/OFICIOS%202022%20ASIGNACI&#211;N,%20AUTORIZACI&#211;N%20Y%20CANCELACI&#211;N/20704000L-CAPAD-00776-22.pdf" TargetMode="External"/><Relationship Id="rId182" Type="http://schemas.openxmlformats.org/officeDocument/2006/relationships/hyperlink" Target="../../../../../Users/jsolis/AppData/Roaming/Microsoft/Excel/OFICIOS%202022%20ASIGNACI&#211;N,%20AUTORIZACI&#211;N%20Y%20CANCELACI&#211;N/20704000L-APAD-FISE-1145-22.pdf" TargetMode="External"/><Relationship Id="rId6"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OF-0450-21.pdf" TargetMode="External"/><Relationship Id="rId23"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247-22.pdf" TargetMode="External"/><Relationship Id="rId119"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FISE-0309-22.pdf" TargetMode="External"/><Relationship Id="rId44"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247-22.pdf" TargetMode="External"/><Relationship Id="rId65"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FISE-0309-22.pdf" TargetMode="External"/><Relationship Id="rId86"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424-22.pdf" TargetMode="External"/><Relationship Id="rId130"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FISE-0309-22.pdf" TargetMode="External"/><Relationship Id="rId151" Type="http://schemas.openxmlformats.org/officeDocument/2006/relationships/hyperlink" Target="../../../../../Users/jsolis/AppData/Roaming/Microsoft/Users/jsolis/AppData/Roaming/Microsoft/Excel/OFICIOS%202022%20ASIGNACI&#211;N,%20AUTORIZACI&#211;N%20Y%20CANCELACI&#211;N/20704000L-CAPAD-00776-22.pdf" TargetMode="External"/><Relationship Id="rId172" Type="http://schemas.openxmlformats.org/officeDocument/2006/relationships/hyperlink" Target="../../../../../Users/jsolis/AppData/Roaming/Microsoft/Users/jsolis/AppData/Roaming/Microsoft/Excel/OFICIOS%202022%20ASIGNACI&#211;N,%20AUTORIZACI&#211;N%20Y%20CANCELACI&#211;N/20704000L-CAPAD-00776-22.pdf" TargetMode="External"/><Relationship Id="rId193" Type="http://schemas.openxmlformats.org/officeDocument/2006/relationships/hyperlink" Target="../../../../../Users/jsolis/AppData/Roaming/Microsoft/Excel/OFICIOS%202022%20ASIGNACI&#211;N,%20AUTORIZACI&#211;N%20Y%20CANCELACI&#211;N/20704000L-APAD-FISE-1145-22.pdf" TargetMode="External"/><Relationship Id="rId207" Type="http://schemas.openxmlformats.org/officeDocument/2006/relationships/hyperlink" Target="../../../../../Users/jsolis/AppData/Roaming/Microsoft/Excel/OFICIOS%202022%20ASIGNACI&#211;N,%20AUTORIZACI&#211;N%20Y%20CANCELACI&#211;N/20704000L-APAD-FISE-1216-22.pdf" TargetMode="External"/><Relationship Id="rId13"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173-22.pdf" TargetMode="External"/><Relationship Id="rId109"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OF-0367-22.pdf" TargetMode="External"/><Relationship Id="rId34"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247-22.pdf" TargetMode="External"/><Relationship Id="rId55"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FISE-0309-22.pdf" TargetMode="External"/><Relationship Id="rId76"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432-22.pdf" TargetMode="External"/><Relationship Id="rId97"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464-22.pdf" TargetMode="External"/><Relationship Id="rId120"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FISE-0309-22.pdf" TargetMode="External"/><Relationship Id="rId141"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690-22.pdf" TargetMode="External"/><Relationship Id="rId7"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OF-0450-21.pdf" TargetMode="External"/><Relationship Id="rId162" Type="http://schemas.openxmlformats.org/officeDocument/2006/relationships/hyperlink" Target="../../../../../Users/jsolis/AppData/Roaming/Microsoft/Users/jsolis/AppData/Roaming/Microsoft/Excel/OFICIOS%202022%20ASIGNACI&#211;N,%20AUTORIZACI&#211;N%20Y%20CANCELACI&#211;N/20704000L-CAPAD-00776-22.pdf" TargetMode="External"/><Relationship Id="rId183" Type="http://schemas.openxmlformats.org/officeDocument/2006/relationships/hyperlink" Target="../../../../../Users/jsolis/AppData/Roaming/Microsoft/Excel/OFICIOS%202022%20ASIGNACI&#211;N,%20AUTORIZACI&#211;N%20Y%20CANCELACI&#211;N/20704000L-APAD-FISE-1145-22.pdf" TargetMode="External"/><Relationship Id="rId24"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247-22.pdf" TargetMode="External"/><Relationship Id="rId45"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247-22.pdf" TargetMode="External"/><Relationship Id="rId66"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FISE-0309-22.pdf" TargetMode="External"/><Relationship Id="rId87"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424-22.pdf" TargetMode="External"/><Relationship Id="rId110"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OF-0367-22.pdf" TargetMode="External"/><Relationship Id="rId131"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FISE-0309-22.pdf" TargetMode="External"/><Relationship Id="rId152" Type="http://schemas.openxmlformats.org/officeDocument/2006/relationships/hyperlink" Target="../../../../../Users/jsolis/AppData/Roaming/Microsoft/Users/jsolis/AppData/Roaming/Microsoft/Excel/OFICIOS%202022%20ASIGNACI&#211;N,%20AUTORIZACI&#211;N%20Y%20CANCELACI&#211;N/20704000L-CAPAD-00776-22.pdf" TargetMode="External"/><Relationship Id="rId173" Type="http://schemas.openxmlformats.org/officeDocument/2006/relationships/hyperlink" Target="../../../../../Users/jsolis/AppData/Roaming/Microsoft/Users/jsolis/AppData/Roaming/Microsoft/Excel/OFICIOS%202022%20ASIGNACI&#211;N,%20AUTORIZACI&#211;N%20Y%20CANCELACI&#211;N/20704000L-CAPAD-00776-22.pdf" TargetMode="External"/><Relationship Id="rId194" Type="http://schemas.openxmlformats.org/officeDocument/2006/relationships/hyperlink" Target="../../../../../Users/jsolis/AppData/Roaming/Microsoft/Excel/OFICIOS%202022%20ASIGNACI&#211;N,%20AUTORIZACI&#211;N%20Y%20CANCELACI&#211;N/20704000L-APAD-FISE-1145-22.pdf" TargetMode="External"/><Relationship Id="rId208" Type="http://schemas.openxmlformats.org/officeDocument/2006/relationships/hyperlink" Target="../../../../../Users/jsolis/AppData/Roaming/Microsoft/Excel/OFICIOS%202023%20ASIGNACI&#211;N,%20AUTORIZACI&#211;N%20Y%20CANCELACI&#211;N/20704000L-CAPAD-1221-211.pdf" TargetMode="External"/><Relationship Id="rId19"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234-22.pdf" TargetMode="External"/><Relationship Id="rId14"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OF-0186-22.pdf" TargetMode="External"/><Relationship Id="rId30"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247-22.pdf" TargetMode="External"/><Relationship Id="rId35"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247-22.pdf" TargetMode="External"/><Relationship Id="rId56"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FISE-0309-22.pdf" TargetMode="External"/><Relationship Id="rId77"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432-22.pdf" TargetMode="External"/><Relationship Id="rId100"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464-22.pdf" TargetMode="External"/><Relationship Id="rId105"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OF-1227-20.pdf" TargetMode="External"/><Relationship Id="rId126"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FISE-0309-22.pdf" TargetMode="External"/><Relationship Id="rId147" Type="http://schemas.openxmlformats.org/officeDocument/2006/relationships/hyperlink" Target="../../../../../Users/jsolis/AppData/Roaming/Microsoft/Users/jsolis/AppData/Roaming/Microsoft/Excel/OFICIOS%202022%20ASIGNACI&#211;N,%20AUTORIZACI&#211;N%20Y%20CANCELACI&#211;N/20704000L-APAD-FISE-0813-22.pdf" TargetMode="External"/><Relationship Id="rId168" Type="http://schemas.openxmlformats.org/officeDocument/2006/relationships/hyperlink" Target="../../../../../Users/jsolis/AppData/Roaming/Microsoft/Users/jsolis/AppData/Roaming/Microsoft/Excel/OFICIOS%202022%20ASIGNACI&#211;N,%20AUTORIZACI&#211;N%20Y%20CANCELACI&#211;N/20704000L-CAPAD-00776-22.pdf" TargetMode="External"/><Relationship Id="rId8"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OF-0450-21.pdf" TargetMode="External"/><Relationship Id="rId51"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FISE-0309-22.pdf" TargetMode="External"/><Relationship Id="rId72"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407-22.pdf" TargetMode="External"/><Relationship Id="rId93"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465-22.pdf" TargetMode="External"/><Relationship Id="rId98"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464-22.pdf" TargetMode="External"/><Relationship Id="rId121"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FISE-0309-22.pdf" TargetMode="External"/><Relationship Id="rId142" Type="http://schemas.openxmlformats.org/officeDocument/2006/relationships/hyperlink" Target="../../../../../Users/jsolis/AppData/Roaming/Microsoft/Users/jsolis/AppData/Roaming/Microsoft/Excel/OFICIOS%202022%20ASIGNACI&#211;N,%20AUTORIZACI&#211;N%20Y%20CANCELACI&#211;N/20704000L-APAD-0784-22.pdf" TargetMode="External"/><Relationship Id="rId163" Type="http://schemas.openxmlformats.org/officeDocument/2006/relationships/hyperlink" Target="../../../../../Users/jsolis/AppData/Roaming/Microsoft/Users/jsolis/AppData/Roaming/Microsoft/Excel/OFICIOS%202022%20ASIGNACI&#211;N,%20AUTORIZACI&#211;N%20Y%20CANCELACI&#211;N/20704000L-CAPAD-00776-22.pdf" TargetMode="External"/><Relationship Id="rId184" Type="http://schemas.openxmlformats.org/officeDocument/2006/relationships/hyperlink" Target="../../../../../Users/jsolis/AppData/Roaming/Microsoft/Excel/OFICIOS%202022%20ASIGNACI&#211;N,%20AUTORIZACI&#211;N%20Y%20CANCELACI&#211;N/20704000L-APAD-FISE-1145-22.pdf" TargetMode="External"/><Relationship Id="rId189" Type="http://schemas.openxmlformats.org/officeDocument/2006/relationships/hyperlink" Target="../../../../../Users/jsolis/AppData/Roaming/Microsoft/Excel/OFICIOS%202022%20ASIGNACI&#211;N,%20AUTORIZACI&#211;N%20Y%20CANCELACI&#211;N/20704000L-APAD-FISE-1145-22.pdf" TargetMode="External"/><Relationship Id="rId3"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OF-0004-22.pdf" TargetMode="External"/><Relationship Id="rId25"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247-22.pdf" TargetMode="External"/><Relationship Id="rId46"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247-22.pdf" TargetMode="External"/><Relationship Id="rId67"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FISE-0309-22.pdf" TargetMode="External"/><Relationship Id="rId116"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FISE-0309-22.pdf" TargetMode="External"/><Relationship Id="rId137"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756-22.pdf" TargetMode="External"/><Relationship Id="rId158" Type="http://schemas.openxmlformats.org/officeDocument/2006/relationships/hyperlink" Target="../../../../../Users/jsolis/AppData/Roaming/Microsoft/Users/jsolis/AppData/Roaming/Microsoft/Excel/OFICIOS%202022%20ASIGNACI&#211;N,%20AUTORIZACI&#211;N%20Y%20CANCELACI&#211;N/20704000L-CAPAD-00776-22.pdf" TargetMode="External"/><Relationship Id="rId20"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234-22.pdf" TargetMode="External"/><Relationship Id="rId41"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247-22.pdf" TargetMode="External"/><Relationship Id="rId62"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FISE-0309-22.pdf" TargetMode="External"/><Relationship Id="rId83"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OF-0066-22.pdf" TargetMode="External"/><Relationship Id="rId88"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434-22.pdf" TargetMode="External"/><Relationship Id="rId111"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OF-0367-22.pdf" TargetMode="External"/><Relationship Id="rId132"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FISE-0309-22.pdf" TargetMode="External"/><Relationship Id="rId153" Type="http://schemas.openxmlformats.org/officeDocument/2006/relationships/hyperlink" Target="../../../../../Users/jsolis/AppData/Roaming/Microsoft/Users/jsolis/AppData/Roaming/Microsoft/Excel/OFICIOS%202022%20ASIGNACI&#211;N,%20AUTORIZACI&#211;N%20Y%20CANCELACI&#211;N/20704000L-CAPAD-00776-22.pdf" TargetMode="External"/><Relationship Id="rId174" Type="http://schemas.openxmlformats.org/officeDocument/2006/relationships/hyperlink" Target="../../../../../Users/jsolis/AppData/Roaming/Microsoft/Users/jsolis/AppData/Roaming/Microsoft/Excel/OFICIOS%202022%20ASIGNACI&#211;N,%20AUTORIZACI&#211;N%20Y%20CANCELACI&#211;N/20704000L-APAD-0815-22.pdf" TargetMode="External"/><Relationship Id="rId179" Type="http://schemas.openxmlformats.org/officeDocument/2006/relationships/hyperlink" Target="../../../../../Users/jsolis/AppData/Roaming/Microsoft/Excel/OFICIOS%202022%20ASIGNACI&#211;N,%20AUTORIZACI&#211;N%20Y%20CANCELACI&#211;N/20704000L-APAD-FISE-1145-22.pdf" TargetMode="External"/><Relationship Id="rId195" Type="http://schemas.openxmlformats.org/officeDocument/2006/relationships/hyperlink" Target="../../../../../Users/jsolis/AppData/Roaming/Microsoft/Excel/OFICIOS%202022%20ASIGNACI&#211;N,%20AUTORIZACI&#211;N%20Y%20CANCELACI&#211;N/20704000L-APAD-FISE-1145-22.pdf" TargetMode="External"/><Relationship Id="rId209" Type="http://schemas.openxmlformats.org/officeDocument/2006/relationships/hyperlink" Target="../../../../../Users/jsolis/AppData/Roaming/Microsoft/Excel/OFICIOS%202022%20ASIGNACI&#211;N,%20AUTORIZACI&#211;N%20Y%20CANCELACI&#211;N/20704000L-CAPAD-1170-22.pdf" TargetMode="External"/><Relationship Id="rId190" Type="http://schemas.openxmlformats.org/officeDocument/2006/relationships/hyperlink" Target="../../../../../Users/jsolis/AppData/Roaming/Microsoft/Excel/OFICIOS%202022%20ASIGNACI&#211;N,%20AUTORIZACI&#211;N%20Y%20CANCELACI&#211;N/20704000L-APAD-FISE-1145-22.pdf" TargetMode="External"/><Relationship Id="rId204" Type="http://schemas.openxmlformats.org/officeDocument/2006/relationships/hyperlink" Target="../../../../../Users/jsolis/AppData/Roaming/Microsoft/Excel/OFICIOS%202022%20ASIGNACI&#211;N,%20AUTORIZACI&#211;N%20Y%20CANCELACI&#211;N/20704000L-APAD-1184-22.pdf" TargetMode="External"/><Relationship Id="rId15"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OF-0186-22.pdf" TargetMode="External"/><Relationship Id="rId36"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247-22.pdf" TargetMode="External"/><Relationship Id="rId57"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FISE-0309-22.pdf" TargetMode="External"/><Relationship Id="rId106"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OF-0066-22.pdf" TargetMode="External"/><Relationship Id="rId127"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FISE-0309-22.pdf" TargetMode="External"/><Relationship Id="rId10"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173-22.pdf" TargetMode="External"/><Relationship Id="rId31"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247-22.pdf" TargetMode="External"/><Relationship Id="rId52"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FISE-0309-22.pdf" TargetMode="External"/><Relationship Id="rId73"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420-22.pdf" TargetMode="External"/><Relationship Id="rId78"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432-22.pdf" TargetMode="External"/><Relationship Id="rId94"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465-22.pdf" TargetMode="External"/><Relationship Id="rId99"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464-22.pdf" TargetMode="External"/><Relationship Id="rId101"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461-22.pdf" TargetMode="External"/><Relationship Id="rId122"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FISE-0309-22.pdf" TargetMode="External"/><Relationship Id="rId143" Type="http://schemas.openxmlformats.org/officeDocument/2006/relationships/hyperlink" Target="../../../../../Users/jsolis/AppData/Roaming/Microsoft/Users/jsolis/AppData/Roaming/Microsoft/Excel/OFICIOS%202022%20ASIGNACI&#211;N,%20AUTORIZACI&#211;N%20Y%20CANCELACI&#211;N/20704000L-APAD-0784-22.pdf" TargetMode="External"/><Relationship Id="rId148" Type="http://schemas.openxmlformats.org/officeDocument/2006/relationships/hyperlink" Target="../../../../../Users/jsolis/AppData/Roaming/Microsoft/Users/jsolis/AppData/Roaming/Microsoft/Excel/OFICIOS%202022%20ASIGNACI&#211;N,%20AUTORIZACI&#211;N%20Y%20CANCELACI&#211;N/20704000L-APAD-0801-22.pdf" TargetMode="External"/><Relationship Id="rId164" Type="http://schemas.openxmlformats.org/officeDocument/2006/relationships/hyperlink" Target="../../../../../Users/jsolis/AppData/Roaming/Microsoft/Users/jsolis/AppData/Roaming/Microsoft/Excel/OFICIOS%202022%20ASIGNACI&#211;N,%20AUTORIZACI&#211;N%20Y%20CANCELACI&#211;N/20704000L-CAPAD-00776-22.pdf" TargetMode="External"/><Relationship Id="rId169" Type="http://schemas.openxmlformats.org/officeDocument/2006/relationships/hyperlink" Target="../../../../../Users/jsolis/AppData/Roaming/Microsoft/Users/jsolis/AppData/Roaming/Microsoft/Excel/OFICIOS%202022%20ASIGNACI&#211;N,%20AUTORIZACI&#211;N%20Y%20CANCELACI&#211;N/20704000L-CAPAD-00776-22.pdf" TargetMode="External"/><Relationship Id="rId185" Type="http://schemas.openxmlformats.org/officeDocument/2006/relationships/hyperlink" Target="../../../../../Users/jsolis/AppData/Roaming/Microsoft/Excel/OFICIOS%202022%20ASIGNACI&#211;N,%20AUTORIZACI&#211;N%20Y%20CANCELACI&#211;N/20704000L-APAD-FISE-1145-22.pdf" TargetMode="External"/><Relationship Id="rId4"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OF-0004-22.pdf" TargetMode="External"/><Relationship Id="rId9"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OF-0450-21.pdf" TargetMode="External"/><Relationship Id="rId180" Type="http://schemas.openxmlformats.org/officeDocument/2006/relationships/hyperlink" Target="../../../../../Users/jsolis/AppData/Roaming/Microsoft/Excel/OFICIOS%202022%20ASIGNACI&#211;N,%20AUTORIZACI&#211;N%20Y%20CANCELACI&#211;N/20704000L-APAD-FISE-1145-22.pdf" TargetMode="External"/><Relationship Id="rId210" Type="http://schemas.openxmlformats.org/officeDocument/2006/relationships/hyperlink" Target="../../../../../Users/jsolis/AppData/Roaming/Microsoft/Excel/OFICIOS%202022%20ASIGNACI&#211;N,%20AUTORIZACI&#211;N%20Y%20CANCELACI&#211;N/20704000L-CAPAD-1170-22.pdf" TargetMode="External"/><Relationship Id="rId26"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247-22.pdf" TargetMode="External"/><Relationship Id="rId47"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OF-0450-21.pdf" TargetMode="External"/><Relationship Id="rId68"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FISE-0309-22.pdf" TargetMode="External"/><Relationship Id="rId89"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434-22.pdf" TargetMode="External"/><Relationship Id="rId112"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OF-0367-22.pdf" TargetMode="External"/><Relationship Id="rId133"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690-22.pdf" TargetMode="External"/><Relationship Id="rId154" Type="http://schemas.openxmlformats.org/officeDocument/2006/relationships/hyperlink" Target="../../../../../Users/jsolis/AppData/Roaming/Microsoft/Users/jsolis/AppData/Roaming/Microsoft/Excel/OFICIOS%202022%20ASIGNACI&#211;N,%20AUTORIZACI&#211;N%20Y%20CANCELACI&#211;N/20704000L-CAPAD-00776-22.pdf" TargetMode="External"/><Relationship Id="rId175" Type="http://schemas.openxmlformats.org/officeDocument/2006/relationships/hyperlink" Target="../../../../../Users/jsolis/AppData/Roaming/Microsoft/Users/jsolis/AppData/Roaming/Microsoft/Excel/OFICIOS%202022%20ASIGNACI&#211;N,%20AUTORIZACI&#211;N%20Y%20CANCELACI&#211;N/20704000L-APAD-0815-22.pdf" TargetMode="External"/><Relationship Id="rId196" Type="http://schemas.openxmlformats.org/officeDocument/2006/relationships/hyperlink" Target="../../../../../Users/jsolis/AppData/Roaming/Microsoft/Excel/OFICIOS%202022%20ASIGNACI&#211;N,%20AUTORIZACI&#211;N%20Y%20CANCELACI&#211;N/20704000L-APAD-OF-1265-20.pdf" TargetMode="External"/><Relationship Id="rId200" Type="http://schemas.openxmlformats.org/officeDocument/2006/relationships/hyperlink" Target="../../../../../Users/jsolis/AppData/Roaming/Microsoft/Excel/OFICIOS%202022%20ASIGNACI&#211;N,%20AUTORIZACI&#211;N%20Y%20CANCELACI&#211;N/20704000L-TRAPAD-OF-1152-22.pdf" TargetMode="External"/><Relationship Id="rId16"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227-22.pdf" TargetMode="External"/><Relationship Id="rId37"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247-22.pdf" TargetMode="External"/><Relationship Id="rId58"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FISE-0309-22.pdf" TargetMode="External"/><Relationship Id="rId79"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432-22.pdf" TargetMode="External"/><Relationship Id="rId102"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478-22.pdf" TargetMode="External"/><Relationship Id="rId123"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FISE-0309-22.pdf" TargetMode="External"/><Relationship Id="rId144" Type="http://schemas.openxmlformats.org/officeDocument/2006/relationships/hyperlink" Target="../../../../../Users/jsolis/AppData/Roaming/Microsoft/Users/jsolis/AppData/Roaming/Microsoft/Excel/OFICIOS%202022%20ASIGNACI&#211;N,%20AUTORIZACI&#211;N%20Y%20CANCELACI&#211;N/20704000L-APAD-0784-22.pdf" TargetMode="External"/><Relationship Id="rId90"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443-22.pdf" TargetMode="External"/><Relationship Id="rId165" Type="http://schemas.openxmlformats.org/officeDocument/2006/relationships/hyperlink" Target="../../../../../Users/jsolis/AppData/Roaming/Microsoft/Users/jsolis/AppData/Roaming/Microsoft/Excel/OFICIOS%202022%20ASIGNACI&#211;N,%20AUTORIZACI&#211;N%20Y%20CANCELACI&#211;N/20704000L-CAPAD-00776-22.pdf" TargetMode="External"/><Relationship Id="rId186" Type="http://schemas.openxmlformats.org/officeDocument/2006/relationships/hyperlink" Target="../../../../../Users/jsolis/AppData/Roaming/Microsoft/Excel/OFICIOS%202022%20ASIGNACI&#211;N,%20AUTORIZACI&#211;N%20Y%20CANCELACI&#211;N/20704000L-APAD-FISE-1145-22.pdf" TargetMode="External"/><Relationship Id="rId211"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OF-0367-22.pdf" TargetMode="External"/><Relationship Id="rId27"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247-22.pdf" TargetMode="External"/><Relationship Id="rId48"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OF-1246-21.pdf" TargetMode="External"/><Relationship Id="rId69"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FISE-0309-22.pdf" TargetMode="External"/><Relationship Id="rId113"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OF-0367-22.pdf" TargetMode="External"/><Relationship Id="rId134"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690-22.pdf" TargetMode="External"/><Relationship Id="rId80"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419-22.pdf" TargetMode="External"/><Relationship Id="rId155" Type="http://schemas.openxmlformats.org/officeDocument/2006/relationships/hyperlink" Target="../../../../../Users/jsolis/AppData/Roaming/Microsoft/Users/jsolis/AppData/Roaming/Microsoft/Excel/OFICIOS%202022%20ASIGNACI&#211;N,%20AUTORIZACI&#211;N%20Y%20CANCELACI&#211;N/20704000L-CAPAD-00776-22.pdf" TargetMode="External"/><Relationship Id="rId176" Type="http://schemas.openxmlformats.org/officeDocument/2006/relationships/hyperlink" Target="../../../../../Users/jsolis/AppData/Roaming/Microsoft/Excel/OFICIOS%202022%20ASIGNACI&#211;N,%20AUTORIZACI&#211;N%20Y%20CANCELACI&#211;N/20704000L-APAD-OF-0940-22.pdf" TargetMode="External"/><Relationship Id="rId197" Type="http://schemas.openxmlformats.org/officeDocument/2006/relationships/hyperlink" Target="../../../../../Users/jsolis/AppData/Roaming/Microsoft/Excel/OFICIOS%202022%20ASIGNACI&#211;N,%20AUTORIZACI&#211;N%20Y%20CANCELACI&#211;N/20704000L-APAD-1178-22.pdf" TargetMode="External"/><Relationship Id="rId201" Type="http://schemas.openxmlformats.org/officeDocument/2006/relationships/hyperlink" Target="../../../../../Users/jsolis/AppData/Roaming/Microsoft/Excel/OFICIOS%202022%20ASIGNACI&#211;N,%20AUTORIZACI&#211;N%20Y%20CANCELACI&#211;N/20704000L-TRAPAD-OF-1152-22.pdf" TargetMode="External"/><Relationship Id="rId17"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OF-0603-19.pdf" TargetMode="External"/><Relationship Id="rId38"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247-22.pdf" TargetMode="External"/><Relationship Id="rId59"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FISE-0309-22.pdf" TargetMode="External"/><Relationship Id="rId103"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435-22.pdf" TargetMode="External"/><Relationship Id="rId124"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FISE-0309-22.pdf" TargetMode="External"/><Relationship Id="rId70"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247-22.pdf" TargetMode="External"/><Relationship Id="rId91"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442-22.pdf" TargetMode="External"/><Relationship Id="rId145" Type="http://schemas.openxmlformats.org/officeDocument/2006/relationships/hyperlink" Target="../../../../../Users/jsolis/AppData/Roaming/Microsoft/Users/jsolis/AppData/Roaming/Microsoft/Excel/OFICIOS%202022%20ASIGNACI&#211;N,%20AUTORIZACI&#211;N%20Y%20CANCELACI&#211;N/20704000L-APAD-0784-22.pdf" TargetMode="External"/><Relationship Id="rId166" Type="http://schemas.openxmlformats.org/officeDocument/2006/relationships/hyperlink" Target="../../../../../Users/jsolis/AppData/Roaming/Microsoft/Users/jsolis/AppData/Roaming/Microsoft/Excel/OFICIOS%202022%20ASIGNACI&#211;N,%20AUTORIZACI&#211;N%20Y%20CANCELACI&#211;N/20704000L-CAPAD-00776-22.pdf" TargetMode="External"/><Relationship Id="rId187" Type="http://schemas.openxmlformats.org/officeDocument/2006/relationships/hyperlink" Target="../../../../../Users/jsolis/AppData/Roaming/Microsoft/Excel/OFICIOS%202022%20ASIGNACI&#211;N,%20AUTORIZACI&#211;N%20Y%20CANCELACI&#211;N/20704000L-APAD-FISE-1145-22.pdf" TargetMode="External"/><Relationship Id="rId1"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OF-0004-22.pdf" TargetMode="External"/><Relationship Id="rId212"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OF-0367-22.pdf" TargetMode="External"/><Relationship Id="rId28"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247-22.pdf" TargetMode="External"/><Relationship Id="rId49"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OF-1246-21.pdf" TargetMode="External"/><Relationship Id="rId114"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FISE-0309-22.pdf" TargetMode="External"/><Relationship Id="rId60"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FISE-0309-22.pdf" TargetMode="External"/><Relationship Id="rId81"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OF-1253-21.pdf" TargetMode="External"/><Relationship Id="rId135"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690-22.pdf" TargetMode="External"/><Relationship Id="rId156" Type="http://schemas.openxmlformats.org/officeDocument/2006/relationships/hyperlink" Target="../../../../../Users/jsolis/AppData/Roaming/Microsoft/Users/jsolis/AppData/Roaming/Microsoft/Excel/OFICIOS%202022%20ASIGNACI&#211;N,%20AUTORIZACI&#211;N%20Y%20CANCELACI&#211;N/20704000L-CAPAD-00776-22.pdf" TargetMode="External"/><Relationship Id="rId177" Type="http://schemas.openxmlformats.org/officeDocument/2006/relationships/hyperlink" Target="../../../../../Users/jsolis/AppData/Roaming/Microsoft/Excel/OFICIOS%202022%20ASIGNACI&#211;N,%20AUTORIZACI&#211;N%20Y%20CANCELACI&#211;N/20704000L-APAD-OF-0940-22.pdf" TargetMode="External"/><Relationship Id="rId198" Type="http://schemas.openxmlformats.org/officeDocument/2006/relationships/hyperlink" Target="../../../../../Users/jsolis/AppData/Roaming/Microsoft/Excel/OFICIOS%202022%20ASIGNACI&#211;N,%20AUTORIZACI&#211;N%20Y%20CANCELACI&#211;N/20704000L-APAD-1179-22.pdf" TargetMode="External"/><Relationship Id="rId202" Type="http://schemas.openxmlformats.org/officeDocument/2006/relationships/hyperlink" Target="../../../../../Users/jsolis/AppData/Roaming/Microsoft/Excel/OFICIOS%202022%20ASIGNACI&#211;N,%20AUTORIZACI&#211;N%20Y%20CANCELACI&#211;N/20704000L-TRAPAD-OF-1152-22.pdf" TargetMode="External"/><Relationship Id="rId18"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234-22.pdf" TargetMode="External"/><Relationship Id="rId39"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247-22.pdf" TargetMode="External"/><Relationship Id="rId50"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OF-1762-19.pdf" TargetMode="External"/><Relationship Id="rId104"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CAPAD-OF-0496-22.pdf" TargetMode="External"/><Relationship Id="rId125"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FISE-0309-22.pdf" TargetMode="External"/><Relationship Id="rId146" Type="http://schemas.openxmlformats.org/officeDocument/2006/relationships/hyperlink" Target="../../../../../Users/jsolis/AppData/Roaming/Microsoft/Users/jsolis/AppData/Roaming/Microsoft/Excel/OFICIOS%202022%20ASIGNACI&#211;N,%20AUTORIZACI&#211;N%20Y%20CANCELACI&#211;N/20704000L-APAD-0784-22.pdf" TargetMode="External"/><Relationship Id="rId167" Type="http://schemas.openxmlformats.org/officeDocument/2006/relationships/hyperlink" Target="../../../../../Users/jsolis/AppData/Roaming/Microsoft/Users/jsolis/AppData/Roaming/Microsoft/Excel/OFICIOS%202022%20ASIGNACI&#211;N,%20AUTORIZACI&#211;N%20Y%20CANCELACI&#211;N/20704000L-CAPAD-00776-22.pdf" TargetMode="External"/><Relationship Id="rId188" Type="http://schemas.openxmlformats.org/officeDocument/2006/relationships/hyperlink" Target="../../../../../Users/jsolis/AppData/Roaming/Microsoft/Excel/OFICIOS%202022%20ASIGNACI&#211;N,%20AUTORIZACI&#211;N%20Y%20CANCELACI&#211;N/20704000L-APAD-FISE-1145-22.pdf" TargetMode="External"/><Relationship Id="rId71"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OF-0367-22.pdf" TargetMode="External"/><Relationship Id="rId92"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442-22.pdf" TargetMode="External"/><Relationship Id="rId213" Type="http://schemas.openxmlformats.org/officeDocument/2006/relationships/printerSettings" Target="../printerSettings/printerSettings4.bin"/><Relationship Id="rId2"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OF-0004-22.pdf" TargetMode="External"/><Relationship Id="rId29"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247-22.pdf" TargetMode="External"/><Relationship Id="rId40"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0247-22.pdf" TargetMode="External"/><Relationship Id="rId115"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FISE-0309-22.pdf" TargetMode="External"/><Relationship Id="rId136"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CAPAD-0700-22.pdf" TargetMode="External"/><Relationship Id="rId157" Type="http://schemas.openxmlformats.org/officeDocument/2006/relationships/hyperlink" Target="../../../../../Users/jsolis/AppData/Roaming/Microsoft/Users/jsolis/AppData/Roaming/Microsoft/Excel/OFICIOS%202022%20ASIGNACI&#211;N,%20AUTORIZACI&#211;N%20Y%20CANCELACI&#211;N/20704000L-CAPAD-00776-22.pdf" TargetMode="External"/><Relationship Id="rId178" Type="http://schemas.openxmlformats.org/officeDocument/2006/relationships/hyperlink" Target="../../../../../Users/jsolis/AppData/Roaming/Microsoft/Excel/OFICIOS%202022%20ASIGNACI&#211;N,%20AUTORIZACI&#211;N%20Y%20CANCELACI&#211;N/20704000L-APAD-FISE-1145-22.pdf" TargetMode="External"/><Relationship Id="rId61"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FISE-0309-22.pdf" TargetMode="External"/><Relationship Id="rId82"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2%20ASIGNACI&#211;N,%20AUTORIZACI&#211;N%20Y%20CANCELACI&#211;N/20704000L-APAD-OF-1253-21.pdf" TargetMode="External"/><Relationship Id="rId199" Type="http://schemas.openxmlformats.org/officeDocument/2006/relationships/hyperlink" Target="../../../../../Users/jsolis/AppData/Roaming/Microsoft/Excel/OFICIOS%202022%20ASIGNACI&#211;N,%20AUTORIZACI&#211;N%20Y%20CANCELACI&#211;N/20704000L-TRAPAD-OF-1152-22.pdf" TargetMode="External"/><Relationship Id="rId203" Type="http://schemas.openxmlformats.org/officeDocument/2006/relationships/hyperlink" Target="../../../../../Users/jsolis/AppData/Roaming/Microsoft/Excel/OFICIOS%202022%20ASIGNACI&#211;N,%20AUTORIZACI&#211;N%20Y%20CANCELACI&#211;N/20704000L-TRAPAD-OF-1152-22.pdf"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Users/jsolis/AppData/Roaming/Microsoft/Excel/OFICIOS%202021%20ASIGNACI&#211;N,%20AUTORIZACI&#211;N%20Y%20CANCELACI&#211;N/20704000L-AMPAD-OF-1252-20.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50"/>
  <sheetViews>
    <sheetView topLeftCell="A10" zoomScale="50" zoomScaleNormal="50" workbookViewId="0">
      <selection activeCell="E36" sqref="E36"/>
    </sheetView>
  </sheetViews>
  <sheetFormatPr baseColWidth="10" defaultColWidth="11.42578125" defaultRowHeight="26.25"/>
  <cols>
    <col min="1" max="1" width="34.5703125" style="219" customWidth="1"/>
    <col min="2" max="2" width="34.28515625" style="219" customWidth="1"/>
    <col min="3" max="3" width="37" style="220" customWidth="1"/>
    <col min="4" max="4" width="45" style="219" customWidth="1"/>
    <col min="5" max="5" width="32.7109375" style="219" customWidth="1"/>
    <col min="6" max="6" width="32.5703125" style="219" customWidth="1"/>
    <col min="7" max="7" width="32.28515625" style="219" customWidth="1"/>
    <col min="8" max="8" width="36.28515625" style="219" customWidth="1"/>
    <col min="9" max="9" width="36" style="219" customWidth="1"/>
    <col min="10" max="10" width="33.28515625" style="219" customWidth="1"/>
    <col min="11" max="11" width="34.5703125" style="219" customWidth="1"/>
    <col min="12" max="12" width="33" style="219" customWidth="1"/>
    <col min="13" max="13" width="34.140625" style="219" customWidth="1"/>
    <col min="14" max="14" width="34.7109375" style="219" customWidth="1"/>
    <col min="15" max="15" width="36.42578125" style="219" customWidth="1"/>
    <col min="16" max="17" width="35.140625" style="219" customWidth="1"/>
    <col min="18" max="19" width="36" style="219" customWidth="1"/>
    <col min="20" max="16384" width="11.42578125" style="219"/>
  </cols>
  <sheetData>
    <row r="1" spans="1:15">
      <c r="E1" s="484" t="s">
        <v>850</v>
      </c>
      <c r="F1" s="484"/>
      <c r="G1" s="484"/>
      <c r="H1" s="484"/>
      <c r="I1" s="484"/>
      <c r="J1" s="485" t="s">
        <v>850</v>
      </c>
      <c r="K1" s="486"/>
      <c r="L1" s="486"/>
      <c r="M1" s="486"/>
      <c r="N1" s="486"/>
      <c r="O1" s="487"/>
    </row>
    <row r="2" spans="1:15">
      <c r="B2" s="221" t="s">
        <v>851</v>
      </c>
      <c r="C2" s="221" t="s">
        <v>852</v>
      </c>
      <c r="D2" s="221" t="s">
        <v>853</v>
      </c>
      <c r="E2" s="488" t="s">
        <v>854</v>
      </c>
      <c r="F2" s="488" t="s">
        <v>855</v>
      </c>
      <c r="G2" s="488" t="s">
        <v>856</v>
      </c>
      <c r="H2" s="488" t="s">
        <v>857</v>
      </c>
      <c r="I2" s="488" t="s">
        <v>858</v>
      </c>
      <c r="J2" s="482" t="s">
        <v>859</v>
      </c>
      <c r="K2" s="482" t="s">
        <v>860</v>
      </c>
      <c r="L2" s="482" t="s">
        <v>861</v>
      </c>
      <c r="M2" s="482" t="s">
        <v>862</v>
      </c>
      <c r="N2" s="482" t="s">
        <v>863</v>
      </c>
      <c r="O2" s="482" t="s">
        <v>864</v>
      </c>
    </row>
    <row r="3" spans="1:15">
      <c r="A3" s="222" t="s">
        <v>3</v>
      </c>
      <c r="B3" s="223" t="e">
        <f>SUM(B4:B14)</f>
        <v>#REF!</v>
      </c>
      <c r="C3" s="223" t="e">
        <f>SUM(C4:C14)</f>
        <v>#REF!</v>
      </c>
      <c r="D3" s="223" t="e">
        <f>SUM(D4:D14)</f>
        <v>#REF!</v>
      </c>
      <c r="E3" s="489"/>
      <c r="F3" s="489"/>
      <c r="G3" s="489"/>
      <c r="H3" s="489"/>
      <c r="I3" s="489"/>
      <c r="J3" s="483"/>
      <c r="K3" s="483"/>
      <c r="L3" s="483"/>
      <c r="M3" s="483"/>
      <c r="N3" s="483"/>
      <c r="O3" s="483"/>
    </row>
    <row r="4" spans="1:15">
      <c r="A4" s="224" t="s">
        <v>239</v>
      </c>
      <c r="B4" s="224" t="e">
        <f>+SUMIF('OBRA 2022'!#REF!,Resumen!A4,'OBRA 2022'!#REF!)</f>
        <v>#REF!</v>
      </c>
      <c r="C4" s="218" t="e">
        <f>+SUMIF('OBRA 2022'!#REF!,Resumen!A4,'OBRA 2022'!#REF!)</f>
        <v>#REF!</v>
      </c>
      <c r="D4" s="218" t="e">
        <f t="shared" ref="D4:D11" si="0">+C4-B4</f>
        <v>#REF!</v>
      </c>
      <c r="E4" s="224">
        <v>0</v>
      </c>
      <c r="F4" s="224">
        <v>0</v>
      </c>
      <c r="G4" s="224">
        <v>0</v>
      </c>
      <c r="H4" s="224">
        <v>0</v>
      </c>
      <c r="I4" s="224">
        <v>0</v>
      </c>
      <c r="J4" s="224"/>
      <c r="K4" s="224"/>
      <c r="L4" s="224"/>
      <c r="M4" s="224"/>
      <c r="N4" s="224"/>
      <c r="O4" s="224"/>
    </row>
    <row r="5" spans="1:15">
      <c r="A5" s="224" t="s">
        <v>205</v>
      </c>
      <c r="B5" s="224" t="e">
        <f>+SUMIF('OBRA 2022'!#REF!,Resumen!A5,'OBRA 2022'!#REF!)</f>
        <v>#REF!</v>
      </c>
      <c r="C5" s="218" t="e">
        <f>+SUMIF('OBRA 2022'!#REF!,Resumen!A5,'OBRA 2022'!#REF!)</f>
        <v>#REF!</v>
      </c>
      <c r="D5" s="218" t="e">
        <f t="shared" si="0"/>
        <v>#REF!</v>
      </c>
      <c r="E5" s="224" t="e">
        <f>+$B$5*0.2</f>
        <v>#REF!</v>
      </c>
      <c r="F5" s="224" t="e">
        <f>+$B$5*0.2</f>
        <v>#REF!</v>
      </c>
      <c r="G5" s="224" t="e">
        <f>+$B$5*0.2</f>
        <v>#REF!</v>
      </c>
      <c r="H5" s="224" t="e">
        <f>+$B$5*0.2</f>
        <v>#REF!</v>
      </c>
      <c r="I5" s="224" t="e">
        <f>+$B$5*0.2</f>
        <v>#REF!</v>
      </c>
      <c r="J5" s="225"/>
      <c r="K5" s="225"/>
      <c r="L5" s="225"/>
      <c r="M5" s="225"/>
      <c r="N5" s="225"/>
      <c r="O5" s="225"/>
    </row>
    <row r="6" spans="1:15">
      <c r="A6" s="224" t="s">
        <v>230</v>
      </c>
      <c r="B6" s="224" t="e">
        <f>+SUMIF('OBRA 2022'!#REF!,Resumen!A6,'OBRA 2022'!#REF!)</f>
        <v>#REF!</v>
      </c>
      <c r="C6" s="218" t="e">
        <f>+SUMIF('OBRA 2022'!#REF!,Resumen!A6,'OBRA 2022'!#REF!)</f>
        <v>#REF!</v>
      </c>
      <c r="D6" s="218" t="e">
        <f t="shared" si="0"/>
        <v>#REF!</v>
      </c>
      <c r="E6" s="224" t="e">
        <f>+$B$6*0.04</f>
        <v>#REF!</v>
      </c>
      <c r="F6" s="224" t="e">
        <f>+$B$6*0.11</f>
        <v>#REF!</v>
      </c>
      <c r="G6" s="224" t="e">
        <f>+$B$6*0.14</f>
        <v>#REF!</v>
      </c>
      <c r="H6" s="224" t="e">
        <f>+$B$6*0.14</f>
        <v>#REF!</v>
      </c>
      <c r="I6" s="224" t="e">
        <f>+$B$6*0.13</f>
        <v>#REF!</v>
      </c>
      <c r="J6" s="224" t="e">
        <f>+$B$6*0.11</f>
        <v>#REF!</v>
      </c>
      <c r="K6" s="224" t="e">
        <f>+$B$6*0.11</f>
        <v>#REF!</v>
      </c>
      <c r="L6" s="224" t="e">
        <f>+$B$6*0.11</f>
        <v>#REF!</v>
      </c>
      <c r="M6" s="224" t="e">
        <f>+$B$6*0.11</f>
        <v>#REF!</v>
      </c>
      <c r="N6" s="224"/>
      <c r="O6" s="224"/>
    </row>
    <row r="7" spans="1:15" s="228" customFormat="1">
      <c r="A7" s="224" t="s">
        <v>132</v>
      </c>
      <c r="B7" s="224" t="e">
        <f>+SUMIF('OBRA 2022'!#REF!,Resumen!A7,'OBRA 2022'!#REF!)</f>
        <v>#REF!</v>
      </c>
      <c r="C7" s="218" t="e">
        <f>+SUMIF('OBRA 2022'!#REF!,Resumen!A7,'OBRA 2022'!#REF!)</f>
        <v>#REF!</v>
      </c>
      <c r="D7" s="218" t="e">
        <f t="shared" si="0"/>
        <v>#REF!</v>
      </c>
      <c r="E7" s="224" t="e">
        <f>+$B7*0.02</f>
        <v>#REF!</v>
      </c>
      <c r="F7" s="224" t="e">
        <f>+$B7*0.16</f>
        <v>#REF!</v>
      </c>
      <c r="G7" s="224" t="e">
        <f>+$B7*0.2</f>
        <v>#REF!</v>
      </c>
      <c r="H7" s="224" t="e">
        <f>+$B7*0.21</f>
        <v>#REF!</v>
      </c>
      <c r="I7" s="224" t="e">
        <f>+$B7*0.2</f>
        <v>#REF!</v>
      </c>
      <c r="J7" s="224" t="e">
        <f>+$B7*0.07</f>
        <v>#REF!</v>
      </c>
      <c r="K7" s="224" t="e">
        <f>+$B7*0.07</f>
        <v>#REF!</v>
      </c>
      <c r="L7" s="226" t="e">
        <f>+$B7*0.07</f>
        <v>#REF!</v>
      </c>
      <c r="M7" s="227"/>
      <c r="N7" s="227"/>
      <c r="O7" s="227"/>
    </row>
    <row r="8" spans="1:15" s="228" customFormat="1">
      <c r="A8" s="224" t="s">
        <v>195</v>
      </c>
      <c r="B8" s="224" t="e">
        <f>+SUMIF(#REF!,Resumen!A8,#REF!)</f>
        <v>#REF!</v>
      </c>
      <c r="C8" s="218" t="e">
        <f>+SUMIF(#REF!,Resumen!A8,#REF!)</f>
        <v>#REF!</v>
      </c>
      <c r="D8" s="218" t="e">
        <f>+C8-B8</f>
        <v>#REF!</v>
      </c>
      <c r="E8" s="224" t="e">
        <f>+$B8*0.02</f>
        <v>#REF!</v>
      </c>
      <c r="F8" s="224" t="e">
        <f>+$B8*0.16</f>
        <v>#REF!</v>
      </c>
      <c r="G8" s="224" t="e">
        <f>+$B8*0.2</f>
        <v>#REF!</v>
      </c>
      <c r="H8" s="224" t="e">
        <f>+$B8*0.21</f>
        <v>#REF!</v>
      </c>
      <c r="I8" s="224" t="e">
        <f>+$B8*0.2</f>
        <v>#REF!</v>
      </c>
      <c r="J8" s="224"/>
      <c r="K8" s="224"/>
      <c r="L8" s="226"/>
      <c r="M8" s="227"/>
      <c r="N8" s="227"/>
      <c r="O8" s="227"/>
    </row>
    <row r="9" spans="1:15" s="228" customFormat="1">
      <c r="A9" s="224" t="s">
        <v>253</v>
      </c>
      <c r="B9" s="224" t="e">
        <f>+SUMIF('OBRA 2022'!#REF!,Resumen!A9,'OBRA 2022'!#REF!)</f>
        <v>#REF!</v>
      </c>
      <c r="C9" s="218" t="e">
        <f>+SUMIF('OBRA 2022'!#REF!,Resumen!A9,'OBRA 2022'!#REF!)</f>
        <v>#REF!</v>
      </c>
      <c r="D9" s="218" t="e">
        <f t="shared" si="0"/>
        <v>#REF!</v>
      </c>
      <c r="E9" s="224" t="e">
        <f>+$B9*0.04</f>
        <v>#REF!</v>
      </c>
      <c r="F9" s="224" t="e">
        <f>+$B9*0.23</f>
        <v>#REF!</v>
      </c>
      <c r="G9" s="224" t="e">
        <f>+$B9*0.21</f>
        <v>#REF!</v>
      </c>
      <c r="H9" s="224" t="e">
        <f>+$B9*0.31</f>
        <v>#REF!</v>
      </c>
      <c r="I9" s="224" t="e">
        <f>+$B9*0.2</f>
        <v>#REF!</v>
      </c>
      <c r="J9" s="224" t="e">
        <f>+$B9*0.01</f>
        <v>#REF!</v>
      </c>
      <c r="K9" s="224"/>
      <c r="L9" s="226"/>
      <c r="M9" s="227"/>
      <c r="N9" s="227"/>
      <c r="O9" s="227"/>
    </row>
    <row r="10" spans="1:15" s="228" customFormat="1">
      <c r="A10" s="224" t="s">
        <v>807</v>
      </c>
      <c r="B10" s="224" t="e">
        <f>+SUMIF('OBRA 2022'!#REF!,Resumen!A10,'OBRA 2022'!#REF!)</f>
        <v>#REF!</v>
      </c>
      <c r="C10" s="218" t="e">
        <f>+SUMIF('OBRA 2022'!#REF!,Resumen!A10,'OBRA 2022'!#REF!)</f>
        <v>#REF!</v>
      </c>
      <c r="D10" s="218" t="e">
        <f t="shared" si="0"/>
        <v>#REF!</v>
      </c>
      <c r="E10" s="224"/>
      <c r="F10" s="224"/>
      <c r="G10" s="224" t="e">
        <f>+$B10*0.3</f>
        <v>#REF!</v>
      </c>
      <c r="H10" s="224" t="e">
        <f>+$B10*0.3</f>
        <v>#REF!</v>
      </c>
      <c r="I10" s="224" t="e">
        <f>+$B10*0.4</f>
        <v>#REF!</v>
      </c>
      <c r="J10" s="224"/>
      <c r="K10" s="224"/>
      <c r="L10" s="224"/>
      <c r="M10" s="227"/>
      <c r="N10" s="227"/>
      <c r="O10" s="227"/>
    </row>
    <row r="11" spans="1:15" s="228" customFormat="1">
      <c r="A11" s="224" t="s">
        <v>885</v>
      </c>
      <c r="B11" s="224" t="e">
        <f>+SUMIF('OBRA 2022'!#REF!,Resumen!A11,'OBRA 2022'!#REF!)</f>
        <v>#REF!</v>
      </c>
      <c r="C11" s="218" t="e">
        <f>+SUMIF('OBRA 2022'!#REF!,Resumen!A11,'OBRA 2022'!#REF!)</f>
        <v>#REF!</v>
      </c>
      <c r="D11" s="218" t="e">
        <f t="shared" si="0"/>
        <v>#REF!</v>
      </c>
      <c r="E11" s="224"/>
      <c r="F11" s="224"/>
      <c r="G11" s="224"/>
      <c r="H11" s="224"/>
      <c r="I11" s="224"/>
      <c r="J11" s="224" t="e">
        <f>+$B11*0.3</f>
        <v>#REF!</v>
      </c>
      <c r="K11" s="224" t="e">
        <f>+$B11*0.4</f>
        <v>#REF!</v>
      </c>
      <c r="L11" s="224" t="e">
        <f>+$B11*0.3</f>
        <v>#REF!</v>
      </c>
      <c r="M11" s="227"/>
      <c r="N11" s="227"/>
      <c r="O11" s="227"/>
    </row>
    <row r="13" spans="1:15" s="228" customFormat="1">
      <c r="B13" s="229"/>
      <c r="C13" s="230"/>
      <c r="D13" s="231"/>
      <c r="E13" s="232" t="s">
        <v>854</v>
      </c>
      <c r="F13" s="232" t="s">
        <v>855</v>
      </c>
      <c r="G13" s="232" t="s">
        <v>856</v>
      </c>
      <c r="H13" s="232" t="s">
        <v>857</v>
      </c>
      <c r="I13" s="232" t="s">
        <v>858</v>
      </c>
      <c r="J13" s="233" t="s">
        <v>859</v>
      </c>
      <c r="K13" s="233" t="s">
        <v>860</v>
      </c>
      <c r="L13" s="233" t="s">
        <v>861</v>
      </c>
      <c r="M13" s="233" t="s">
        <v>862</v>
      </c>
      <c r="N13" s="233" t="s">
        <v>863</v>
      </c>
      <c r="O13" s="233" t="s">
        <v>864</v>
      </c>
    </row>
    <row r="14" spans="1:15">
      <c r="B14" s="234"/>
      <c r="D14" s="235" t="s">
        <v>865</v>
      </c>
      <c r="E14" s="218" t="e">
        <f>SUM(E4:E11)</f>
        <v>#REF!</v>
      </c>
      <c r="F14" s="218" t="e">
        <f t="shared" ref="F14:O14" si="1">SUM(F4:F11)+E14</f>
        <v>#REF!</v>
      </c>
      <c r="G14" s="218" t="e">
        <f t="shared" si="1"/>
        <v>#REF!</v>
      </c>
      <c r="H14" s="218" t="e">
        <f t="shared" si="1"/>
        <v>#REF!</v>
      </c>
      <c r="I14" s="218" t="e">
        <f t="shared" si="1"/>
        <v>#REF!</v>
      </c>
      <c r="J14" s="218" t="e">
        <f t="shared" si="1"/>
        <v>#REF!</v>
      </c>
      <c r="K14" s="218" t="e">
        <f t="shared" si="1"/>
        <v>#REF!</v>
      </c>
      <c r="L14" s="218" t="e">
        <f t="shared" si="1"/>
        <v>#REF!</v>
      </c>
      <c r="M14" s="218" t="e">
        <f t="shared" si="1"/>
        <v>#REF!</v>
      </c>
      <c r="N14" s="218" t="e">
        <f t="shared" si="1"/>
        <v>#REF!</v>
      </c>
      <c r="O14" s="218" t="e">
        <f t="shared" si="1"/>
        <v>#REF!</v>
      </c>
    </row>
    <row r="15" spans="1:15">
      <c r="D15" s="235" t="s">
        <v>866</v>
      </c>
      <c r="E15" s="218" t="e">
        <f>#REF!++E19+#REF!+E31+E35+E39</f>
        <v>#REF!</v>
      </c>
      <c r="F15" s="218" t="e">
        <f>#REF!++F19+#REF!+F31+F35+F39</f>
        <v>#REF!</v>
      </c>
      <c r="G15" s="218" t="e">
        <f>#REF!++G19+#REF!+G31+G35+G39</f>
        <v>#REF!</v>
      </c>
      <c r="H15" s="218" t="e">
        <f>#REF!++H19+#REF!+H31+H35+H39</f>
        <v>#REF!</v>
      </c>
      <c r="I15" s="218" t="e">
        <f>#REF!++I19+#REF!+I31+I35+I39</f>
        <v>#REF!</v>
      </c>
      <c r="J15" s="218" t="e">
        <f>#REF!++J19+#REF!+J31+J35+J39</f>
        <v>#REF!</v>
      </c>
      <c r="K15" s="218" t="e">
        <f>#REF!++K19+#REF!+K31+K35+K39</f>
        <v>#REF!</v>
      </c>
      <c r="L15" s="218" t="e">
        <f>#REF!++L19+#REF!+L31+L35+L39</f>
        <v>#REF!</v>
      </c>
      <c r="M15" s="218" t="e">
        <f>#REF!++M19+#REF!+M31+M39+M35</f>
        <v>#REF!</v>
      </c>
      <c r="N15" s="218"/>
      <c r="O15" s="218"/>
    </row>
    <row r="16" spans="1:15">
      <c r="A16" s="220" t="e">
        <f>+B3</f>
        <v>#REF!</v>
      </c>
      <c r="B16" s="289" t="e">
        <f>+A16-B8</f>
        <v>#REF!</v>
      </c>
    </row>
    <row r="17" spans="4:15">
      <c r="D17" s="235" t="s">
        <v>867</v>
      </c>
      <c r="E17" s="232" t="s">
        <v>854</v>
      </c>
      <c r="F17" s="232" t="s">
        <v>855</v>
      </c>
      <c r="G17" s="232" t="s">
        <v>856</v>
      </c>
      <c r="H17" s="232" t="s">
        <v>857</v>
      </c>
      <c r="I17" s="232" t="s">
        <v>858</v>
      </c>
      <c r="J17" s="233" t="s">
        <v>859</v>
      </c>
      <c r="K17" s="233" t="s">
        <v>860</v>
      </c>
      <c r="L17" s="233" t="s">
        <v>861</v>
      </c>
      <c r="M17" s="233" t="s">
        <v>862</v>
      </c>
      <c r="N17" s="233" t="s">
        <v>863</v>
      </c>
      <c r="O17" s="233" t="s">
        <v>864</v>
      </c>
    </row>
    <row r="18" spans="4:15" s="234" customFormat="1">
      <c r="D18" s="236" t="s">
        <v>205</v>
      </c>
      <c r="E18" s="224" t="e">
        <f>+E6</f>
        <v>#REF!</v>
      </c>
      <c r="F18" s="224" t="e">
        <f>+F6+E18</f>
        <v>#REF!</v>
      </c>
      <c r="G18" s="224" t="e">
        <f t="shared" ref="G18:O18" si="2">+F18+G6</f>
        <v>#REF!</v>
      </c>
      <c r="H18" s="224" t="e">
        <f t="shared" si="2"/>
        <v>#REF!</v>
      </c>
      <c r="I18" s="224" t="e">
        <f t="shared" si="2"/>
        <v>#REF!</v>
      </c>
      <c r="J18" s="224" t="e">
        <f t="shared" si="2"/>
        <v>#REF!</v>
      </c>
      <c r="K18" s="224" t="e">
        <f t="shared" si="2"/>
        <v>#REF!</v>
      </c>
      <c r="L18" s="224" t="e">
        <f t="shared" si="2"/>
        <v>#REF!</v>
      </c>
      <c r="M18" s="224" t="e">
        <f t="shared" si="2"/>
        <v>#REF!</v>
      </c>
      <c r="N18" s="224" t="e">
        <f t="shared" si="2"/>
        <v>#REF!</v>
      </c>
      <c r="O18" s="224" t="e">
        <f t="shared" si="2"/>
        <v>#REF!</v>
      </c>
    </row>
    <row r="19" spans="4:15" s="234" customFormat="1">
      <c r="D19" s="237" t="s">
        <v>868</v>
      </c>
      <c r="E19" s="224">
        <v>0</v>
      </c>
      <c r="F19" s="224">
        <f>+D46</f>
        <v>131268911.56999999</v>
      </c>
      <c r="G19" s="224">
        <f>+F46</f>
        <v>271786906.94</v>
      </c>
      <c r="H19" s="224">
        <f>+H46</f>
        <v>591118599.18000007</v>
      </c>
      <c r="I19" s="224">
        <f>+J46</f>
        <v>603339445.09000003</v>
      </c>
      <c r="J19" s="224">
        <f>+L46</f>
        <v>606721902.08000004</v>
      </c>
      <c r="K19" s="224">
        <f>+N46</f>
        <v>659638982.17999995</v>
      </c>
      <c r="L19" s="224">
        <f>+P46</f>
        <v>757777035.03999996</v>
      </c>
      <c r="M19" s="224" t="e">
        <f>+R46</f>
        <v>#VALUE!</v>
      </c>
      <c r="N19" s="224"/>
      <c r="O19" s="224"/>
    </row>
    <row r="20" spans="4:15" s="234" customFormat="1"/>
    <row r="21" spans="4:15" s="234" customFormat="1">
      <c r="D21" s="235" t="s">
        <v>867</v>
      </c>
      <c r="E21" s="232" t="s">
        <v>854</v>
      </c>
      <c r="F21" s="232" t="s">
        <v>855</v>
      </c>
      <c r="G21" s="232" t="s">
        <v>856</v>
      </c>
      <c r="H21" s="232" t="s">
        <v>857</v>
      </c>
      <c r="I21" s="232" t="s">
        <v>858</v>
      </c>
      <c r="J21" s="233" t="s">
        <v>859</v>
      </c>
      <c r="K21" s="233" t="s">
        <v>860</v>
      </c>
      <c r="L21" s="233" t="s">
        <v>861</v>
      </c>
      <c r="M21" s="233" t="s">
        <v>862</v>
      </c>
      <c r="N21" s="233" t="s">
        <v>863</v>
      </c>
      <c r="O21" s="233" t="s">
        <v>864</v>
      </c>
    </row>
    <row r="22" spans="4:15" s="234" customFormat="1">
      <c r="D22" s="236" t="s">
        <v>230</v>
      </c>
      <c r="E22" s="224">
        <f>+E10</f>
        <v>0</v>
      </c>
      <c r="F22" s="224">
        <f>+F10+E22</f>
        <v>0</v>
      </c>
      <c r="G22" s="224" t="e">
        <f t="shared" ref="G22:O22" si="3">+F22+G10</f>
        <v>#REF!</v>
      </c>
      <c r="H22" s="224" t="e">
        <f t="shared" si="3"/>
        <v>#REF!</v>
      </c>
      <c r="I22" s="224" t="e">
        <f t="shared" si="3"/>
        <v>#REF!</v>
      </c>
      <c r="J22" s="224" t="e">
        <f t="shared" si="3"/>
        <v>#REF!</v>
      </c>
      <c r="K22" s="224" t="e">
        <f t="shared" si="3"/>
        <v>#REF!</v>
      </c>
      <c r="L22" s="224" t="e">
        <f t="shared" si="3"/>
        <v>#REF!</v>
      </c>
      <c r="M22" s="224" t="e">
        <f t="shared" si="3"/>
        <v>#REF!</v>
      </c>
      <c r="N22" s="224" t="e">
        <f t="shared" si="3"/>
        <v>#REF!</v>
      </c>
      <c r="O22" s="224" t="e">
        <f t="shared" si="3"/>
        <v>#REF!</v>
      </c>
    </row>
    <row r="23" spans="4:15" s="234" customFormat="1">
      <c r="D23" s="237" t="s">
        <v>868</v>
      </c>
      <c r="E23" s="224">
        <v>0</v>
      </c>
      <c r="F23" s="224">
        <f>+D50</f>
        <v>0</v>
      </c>
      <c r="G23" s="224">
        <f>+F50</f>
        <v>0</v>
      </c>
      <c r="H23" s="224">
        <f>+H50</f>
        <v>0</v>
      </c>
      <c r="I23" s="224">
        <f>+J50</f>
        <v>0</v>
      </c>
      <c r="J23" s="224">
        <f>+L50</f>
        <v>0</v>
      </c>
      <c r="K23" s="224">
        <f>+N50</f>
        <v>5257129.55</v>
      </c>
      <c r="L23" s="224">
        <f>+P50</f>
        <v>19804018.030000001</v>
      </c>
      <c r="M23" s="224" t="e">
        <f>+R50</f>
        <v>#VALUE!</v>
      </c>
      <c r="N23" s="224"/>
      <c r="O23" s="224"/>
    </row>
    <row r="24" spans="4:15" s="234" customFormat="1"/>
    <row r="25" spans="4:15" s="234" customFormat="1">
      <c r="D25" s="235" t="s">
        <v>867</v>
      </c>
      <c r="E25" s="232" t="s">
        <v>854</v>
      </c>
      <c r="F25" s="232" t="s">
        <v>855</v>
      </c>
      <c r="G25" s="232" t="s">
        <v>856</v>
      </c>
      <c r="H25" s="232" t="s">
        <v>857</v>
      </c>
      <c r="I25" s="232" t="s">
        <v>858</v>
      </c>
      <c r="J25" s="233" t="s">
        <v>859</v>
      </c>
      <c r="K25" s="233" t="s">
        <v>860</v>
      </c>
      <c r="L25" s="233" t="s">
        <v>861</v>
      </c>
      <c r="M25" s="233" t="s">
        <v>862</v>
      </c>
      <c r="N25" s="233" t="s">
        <v>863</v>
      </c>
      <c r="O25" s="233" t="s">
        <v>864</v>
      </c>
    </row>
    <row r="26" spans="4:15" s="234" customFormat="1">
      <c r="D26" s="236" t="s">
        <v>886</v>
      </c>
      <c r="E26" s="224" t="e">
        <f>+E14</f>
        <v>#REF!</v>
      </c>
      <c r="F26" s="224" t="e">
        <f>+F14+E26</f>
        <v>#REF!</v>
      </c>
      <c r="G26" s="224" t="e">
        <f t="shared" ref="G26:O26" si="4">+F26+G14</f>
        <v>#REF!</v>
      </c>
      <c r="H26" s="224" t="e">
        <f t="shared" si="4"/>
        <v>#REF!</v>
      </c>
      <c r="I26" s="224" t="e">
        <f t="shared" si="4"/>
        <v>#REF!</v>
      </c>
      <c r="J26" s="224" t="e">
        <f t="shared" si="4"/>
        <v>#REF!</v>
      </c>
      <c r="K26" s="224" t="e">
        <f t="shared" si="4"/>
        <v>#REF!</v>
      </c>
      <c r="L26" s="224" t="e">
        <f t="shared" si="4"/>
        <v>#REF!</v>
      </c>
      <c r="M26" s="224" t="e">
        <f t="shared" si="4"/>
        <v>#REF!</v>
      </c>
      <c r="N26" s="224" t="e">
        <f t="shared" si="4"/>
        <v>#REF!</v>
      </c>
      <c r="O26" s="224" t="e">
        <f t="shared" si="4"/>
        <v>#REF!</v>
      </c>
    </row>
    <row r="27" spans="4:15" s="234" customFormat="1">
      <c r="D27" s="237" t="s">
        <v>868</v>
      </c>
      <c r="E27" s="224">
        <v>0</v>
      </c>
      <c r="F27" s="224">
        <f>+D54</f>
        <v>0</v>
      </c>
      <c r="G27" s="224">
        <f>+F54</f>
        <v>0</v>
      </c>
      <c r="H27" s="224">
        <f>+H54</f>
        <v>0</v>
      </c>
      <c r="I27" s="224">
        <f>+J54</f>
        <v>0</v>
      </c>
      <c r="J27" s="224">
        <f>+L54</f>
        <v>0</v>
      </c>
      <c r="K27" s="224">
        <f>+N54</f>
        <v>0</v>
      </c>
      <c r="L27" s="224">
        <f>+P54</f>
        <v>0</v>
      </c>
      <c r="M27" s="224">
        <f>+R54</f>
        <v>0</v>
      </c>
      <c r="N27" s="224"/>
      <c r="O27" s="224"/>
    </row>
    <row r="28" spans="4:15" s="234" customFormat="1"/>
    <row r="29" spans="4:15" s="234" customFormat="1">
      <c r="D29" s="237" t="s">
        <v>867</v>
      </c>
      <c r="E29" s="232" t="s">
        <v>854</v>
      </c>
      <c r="F29" s="238" t="s">
        <v>855</v>
      </c>
      <c r="G29" s="238" t="s">
        <v>856</v>
      </c>
      <c r="H29" s="238" t="s">
        <v>857</v>
      </c>
      <c r="I29" s="238" t="s">
        <v>858</v>
      </c>
      <c r="J29" s="239" t="s">
        <v>859</v>
      </c>
      <c r="K29" s="239" t="s">
        <v>860</v>
      </c>
      <c r="L29" s="239" t="s">
        <v>861</v>
      </c>
      <c r="M29" s="233" t="s">
        <v>862</v>
      </c>
      <c r="N29" s="233" t="s">
        <v>863</v>
      </c>
      <c r="O29" s="233" t="s">
        <v>864</v>
      </c>
    </row>
    <row r="30" spans="4:15" s="234" customFormat="1">
      <c r="D30" s="236" t="s">
        <v>253</v>
      </c>
      <c r="E30" s="224" t="e">
        <f>+E9</f>
        <v>#REF!</v>
      </c>
      <c r="F30" s="224" t="e">
        <f>+F9+E30</f>
        <v>#REF!</v>
      </c>
      <c r="G30" s="224" t="e">
        <f t="shared" ref="G30:O30" si="5">+F30+G9</f>
        <v>#REF!</v>
      </c>
      <c r="H30" s="224" t="e">
        <f t="shared" si="5"/>
        <v>#REF!</v>
      </c>
      <c r="I30" s="224" t="e">
        <f t="shared" si="5"/>
        <v>#REF!</v>
      </c>
      <c r="J30" s="224" t="e">
        <f t="shared" si="5"/>
        <v>#REF!</v>
      </c>
      <c r="K30" s="224" t="e">
        <f t="shared" si="5"/>
        <v>#REF!</v>
      </c>
      <c r="L30" s="224" t="e">
        <f t="shared" si="5"/>
        <v>#REF!</v>
      </c>
      <c r="M30" s="224" t="e">
        <f t="shared" si="5"/>
        <v>#REF!</v>
      </c>
      <c r="N30" s="224" t="e">
        <f t="shared" si="5"/>
        <v>#REF!</v>
      </c>
      <c r="O30" s="224" t="e">
        <f t="shared" si="5"/>
        <v>#REF!</v>
      </c>
    </row>
    <row r="31" spans="4:15" s="234" customFormat="1">
      <c r="D31" s="237" t="s">
        <v>868</v>
      </c>
      <c r="E31" s="224">
        <v>0</v>
      </c>
      <c r="F31" s="224">
        <f>+D44</f>
        <v>24658416.210000001</v>
      </c>
      <c r="G31" s="224">
        <f>+F44</f>
        <v>36903094.030000001</v>
      </c>
      <c r="H31" s="224">
        <f>+H44</f>
        <v>91641361.540000021</v>
      </c>
      <c r="I31" s="224">
        <f>+J44</f>
        <v>205333649.162</v>
      </c>
      <c r="J31" s="224">
        <f>+L44</f>
        <v>210351336.89199996</v>
      </c>
      <c r="K31" s="224">
        <f>+N44</f>
        <v>213215924.66199994</v>
      </c>
      <c r="L31" s="224">
        <f>+P44</f>
        <v>283473495.48199993</v>
      </c>
      <c r="M31" s="224" t="e">
        <f>+R44</f>
        <v>#VALUE!</v>
      </c>
      <c r="N31" s="224"/>
      <c r="O31" s="224"/>
    </row>
    <row r="32" spans="4:15" s="234" customFormat="1">
      <c r="D32" s="240"/>
      <c r="E32" s="241"/>
      <c r="F32" s="241"/>
      <c r="G32" s="241"/>
      <c r="H32" s="241"/>
      <c r="I32" s="241"/>
      <c r="J32" s="241"/>
      <c r="K32" s="241"/>
      <c r="L32" s="241"/>
    </row>
    <row r="33" spans="1:19" s="234" customFormat="1">
      <c r="D33" s="237" t="s">
        <v>867</v>
      </c>
      <c r="E33" s="232" t="s">
        <v>854</v>
      </c>
      <c r="F33" s="238" t="s">
        <v>855</v>
      </c>
      <c r="G33" s="238" t="s">
        <v>856</v>
      </c>
      <c r="H33" s="238" t="s">
        <v>857</v>
      </c>
      <c r="I33" s="238" t="s">
        <v>858</v>
      </c>
      <c r="J33" s="239" t="s">
        <v>859</v>
      </c>
      <c r="K33" s="239" t="s">
        <v>860</v>
      </c>
      <c r="L33" s="239" t="s">
        <v>861</v>
      </c>
      <c r="M33" s="239" t="s">
        <v>862</v>
      </c>
      <c r="N33" s="239" t="s">
        <v>863</v>
      </c>
      <c r="O33" s="239" t="s">
        <v>864</v>
      </c>
    </row>
    <row r="34" spans="1:19" s="234" customFormat="1">
      <c r="D34" s="236" t="s">
        <v>807</v>
      </c>
      <c r="E34" s="224">
        <f>+E10</f>
        <v>0</v>
      </c>
      <c r="F34" s="224">
        <f t="shared" ref="F34:O34" si="6">+F10+E34</f>
        <v>0</v>
      </c>
      <c r="G34" s="224" t="e">
        <f t="shared" si="6"/>
        <v>#REF!</v>
      </c>
      <c r="H34" s="224" t="e">
        <f t="shared" si="6"/>
        <v>#REF!</v>
      </c>
      <c r="I34" s="224" t="e">
        <f t="shared" si="6"/>
        <v>#REF!</v>
      </c>
      <c r="J34" s="224" t="e">
        <f t="shared" si="6"/>
        <v>#REF!</v>
      </c>
      <c r="K34" s="224" t="e">
        <f t="shared" si="6"/>
        <v>#REF!</v>
      </c>
      <c r="L34" s="224" t="e">
        <f t="shared" si="6"/>
        <v>#REF!</v>
      </c>
      <c r="M34" s="224" t="e">
        <f t="shared" si="6"/>
        <v>#REF!</v>
      </c>
      <c r="N34" s="224" t="e">
        <f t="shared" si="6"/>
        <v>#REF!</v>
      </c>
      <c r="O34" s="224" t="e">
        <f t="shared" si="6"/>
        <v>#REF!</v>
      </c>
    </row>
    <row r="35" spans="1:19" s="234" customFormat="1">
      <c r="D35" s="237" t="s">
        <v>868</v>
      </c>
      <c r="E35" s="224">
        <v>0</v>
      </c>
      <c r="F35" s="224">
        <f>+D49</f>
        <v>0</v>
      </c>
      <c r="G35" s="224">
        <f>+F49</f>
        <v>0</v>
      </c>
      <c r="H35" s="224">
        <f>+H49</f>
        <v>0</v>
      </c>
      <c r="I35" s="224">
        <f>+J49</f>
        <v>133999175.45299999</v>
      </c>
      <c r="J35" s="224">
        <f>+L49</f>
        <v>142016237.083</v>
      </c>
      <c r="K35" s="224">
        <f>+N49</f>
        <v>142016237.083</v>
      </c>
      <c r="L35" s="224">
        <f>+P49</f>
        <v>142016237.083</v>
      </c>
      <c r="M35" s="224" t="e">
        <f>+R49</f>
        <v>#VALUE!</v>
      </c>
      <c r="N35" s="224"/>
      <c r="O35" s="224"/>
    </row>
    <row r="36" spans="1:19" s="234" customFormat="1">
      <c r="D36" s="240"/>
      <c r="E36" s="241"/>
      <c r="F36" s="241"/>
      <c r="G36" s="241"/>
      <c r="H36" s="241"/>
      <c r="I36" s="241"/>
      <c r="J36" s="241"/>
      <c r="K36" s="241"/>
      <c r="L36" s="241"/>
    </row>
    <row r="37" spans="1:19" s="234" customFormat="1">
      <c r="D37" s="237" t="s">
        <v>867</v>
      </c>
      <c r="E37" s="232" t="s">
        <v>854</v>
      </c>
      <c r="F37" s="238" t="s">
        <v>855</v>
      </c>
      <c r="G37" s="238" t="s">
        <v>856</v>
      </c>
      <c r="H37" s="238" t="s">
        <v>857</v>
      </c>
      <c r="I37" s="238" t="s">
        <v>858</v>
      </c>
      <c r="J37" s="239" t="s">
        <v>859</v>
      </c>
      <c r="K37" s="239" t="s">
        <v>860</v>
      </c>
      <c r="L37" s="239" t="s">
        <v>861</v>
      </c>
      <c r="M37" s="233" t="s">
        <v>862</v>
      </c>
      <c r="N37" s="233" t="s">
        <v>863</v>
      </c>
      <c r="O37" s="233" t="s">
        <v>864</v>
      </c>
    </row>
    <row r="38" spans="1:19" s="234" customFormat="1">
      <c r="D38" s="236" t="s">
        <v>885</v>
      </c>
      <c r="E38" s="224">
        <f>+E11</f>
        <v>0</v>
      </c>
      <c r="F38" s="224">
        <f t="shared" ref="F38:O38" si="7">+F11+E38</f>
        <v>0</v>
      </c>
      <c r="G38" s="224">
        <f t="shared" si="7"/>
        <v>0</v>
      </c>
      <c r="H38" s="224">
        <f t="shared" si="7"/>
        <v>0</v>
      </c>
      <c r="I38" s="224">
        <f t="shared" si="7"/>
        <v>0</v>
      </c>
      <c r="J38" s="224" t="e">
        <f t="shared" si="7"/>
        <v>#REF!</v>
      </c>
      <c r="K38" s="224" t="e">
        <f t="shared" si="7"/>
        <v>#REF!</v>
      </c>
      <c r="L38" s="224" t="e">
        <f t="shared" si="7"/>
        <v>#REF!</v>
      </c>
      <c r="M38" s="224" t="e">
        <f t="shared" si="7"/>
        <v>#REF!</v>
      </c>
      <c r="N38" s="224" t="e">
        <f t="shared" si="7"/>
        <v>#REF!</v>
      </c>
      <c r="O38" s="224" t="e">
        <f t="shared" si="7"/>
        <v>#REF!</v>
      </c>
    </row>
    <row r="39" spans="1:19" s="234" customFormat="1">
      <c r="D39" s="237" t="s">
        <v>868</v>
      </c>
      <c r="E39" s="224">
        <v>0</v>
      </c>
      <c r="F39" s="224">
        <f>+D50</f>
        <v>0</v>
      </c>
      <c r="G39" s="224">
        <f>+F50</f>
        <v>0</v>
      </c>
      <c r="H39" s="224">
        <f>+H50</f>
        <v>0</v>
      </c>
      <c r="I39" s="224">
        <f>+J50</f>
        <v>0</v>
      </c>
      <c r="J39" s="224">
        <f>+L50</f>
        <v>0</v>
      </c>
      <c r="K39" s="224">
        <f>+N50</f>
        <v>5257129.55</v>
      </c>
      <c r="L39" s="224">
        <f>+P50</f>
        <v>19804018.030000001</v>
      </c>
      <c r="M39" s="224" t="e">
        <f>+R50</f>
        <v>#VALUE!</v>
      </c>
      <c r="N39" s="224"/>
      <c r="O39" s="224"/>
    </row>
    <row r="40" spans="1:19" s="234" customFormat="1">
      <c r="D40" s="240"/>
      <c r="E40" s="241"/>
      <c r="F40" s="241"/>
      <c r="G40" s="241"/>
      <c r="H40" s="241"/>
      <c r="I40" s="241"/>
      <c r="J40" s="241"/>
      <c r="K40" s="241"/>
      <c r="L40" s="241"/>
    </row>
    <row r="41" spans="1:19" ht="25.5" customHeight="1"/>
    <row r="42" spans="1:19" ht="52.5">
      <c r="B42" s="242" t="s">
        <v>851</v>
      </c>
      <c r="C42" s="242" t="s">
        <v>852</v>
      </c>
      <c r="D42" s="242" t="s">
        <v>869</v>
      </c>
      <c r="E42" s="242" t="s">
        <v>870</v>
      </c>
      <c r="F42" s="242" t="s">
        <v>871</v>
      </c>
      <c r="G42" s="242" t="s">
        <v>872</v>
      </c>
      <c r="H42" s="242" t="s">
        <v>873</v>
      </c>
      <c r="I42" s="242" t="s">
        <v>874</v>
      </c>
      <c r="J42" s="242" t="s">
        <v>875</v>
      </c>
      <c r="K42" s="242" t="s">
        <v>876</v>
      </c>
      <c r="L42" s="242" t="s">
        <v>877</v>
      </c>
      <c r="M42" s="242" t="s">
        <v>878</v>
      </c>
      <c r="N42" s="242" t="s">
        <v>879</v>
      </c>
      <c r="O42" s="242" t="s">
        <v>880</v>
      </c>
      <c r="P42" s="242" t="s">
        <v>881</v>
      </c>
      <c r="Q42" s="242" t="s">
        <v>882</v>
      </c>
      <c r="R42" s="242" t="s">
        <v>883</v>
      </c>
      <c r="S42" s="242" t="s">
        <v>884</v>
      </c>
    </row>
    <row r="43" spans="1:19">
      <c r="A43" s="243" t="s">
        <v>3</v>
      </c>
      <c r="B43" s="244" t="e">
        <f>SUM(B44:B48)</f>
        <v>#VALUE!</v>
      </c>
      <c r="C43" s="244" t="e">
        <f>SUM(C44:C49)</f>
        <v>#VALUE!</v>
      </c>
      <c r="D43" s="244">
        <f>SUM(D44:D48)</f>
        <v>169203584.99000001</v>
      </c>
      <c r="E43" s="245" t="e">
        <f>SUM(E44:E49)</f>
        <v>#REF!</v>
      </c>
      <c r="F43" s="244">
        <f>SUM(F44:F48)</f>
        <v>337633883.49000001</v>
      </c>
      <c r="G43" s="245" t="e">
        <f>SUM(G44:G49)</f>
        <v>#REF!</v>
      </c>
      <c r="H43" s="244">
        <f>SUM(H44:H49)</f>
        <v>763361575.69000006</v>
      </c>
      <c r="I43" s="245" t="e">
        <f>SUM(I44:I49)</f>
        <v>#REF!</v>
      </c>
      <c r="J43" s="244">
        <f>SUM(J44:J49)</f>
        <v>1240889116.2550001</v>
      </c>
      <c r="K43" s="245" t="e">
        <f>SUM(K44:K49)</f>
        <v>#REF!</v>
      </c>
      <c r="L43" s="244">
        <v>1298921004.4449999</v>
      </c>
      <c r="M43" s="246">
        <v>-980371290.14660001</v>
      </c>
      <c r="N43" s="244">
        <v>1355251929.9949999</v>
      </c>
      <c r="O43" s="246">
        <v>-1231510922.4917998</v>
      </c>
      <c r="P43" s="244">
        <f>SUM(P44:P49)</f>
        <v>1481483614.155</v>
      </c>
      <c r="Q43" s="245">
        <f>SUM(Q44:Q49)</f>
        <v>-1390016361.0865998</v>
      </c>
      <c r="R43" s="244" t="e">
        <f>SUM(R44:R49)</f>
        <v>#VALUE!</v>
      </c>
      <c r="S43" s="245" t="e">
        <f>SUM(S44:S49)</f>
        <v>#VALUE!</v>
      </c>
    </row>
    <row r="44" spans="1:19">
      <c r="A44" s="225" t="s">
        <v>253</v>
      </c>
      <c r="B44" s="224" t="e">
        <f>+SUMIF('[4]OBRA 2021'!I:I,[4]RESUMEN!A45,'[4]OBRA 2021'!Y:Y)</f>
        <v>#VALUE!</v>
      </c>
      <c r="C44" s="218" t="e">
        <f>+SUMIF('[4]OBRA 2021'!I:I,[4]RESUMEN!A45,'[4]OBRA 2021'!G:G)</f>
        <v>#VALUE!</v>
      </c>
      <c r="D44" s="224">
        <v>24658416.210000001</v>
      </c>
      <c r="E44" s="224" t="e">
        <f>+F9-D44</f>
        <v>#REF!</v>
      </c>
      <c r="F44" s="247">
        <v>36903094.030000001</v>
      </c>
      <c r="G44" s="224" t="e">
        <f>+G9-F44</f>
        <v>#REF!</v>
      </c>
      <c r="H44" s="224">
        <v>91641361.540000021</v>
      </c>
      <c r="I44" s="224" t="e">
        <f>+H9-H44</f>
        <v>#REF!</v>
      </c>
      <c r="J44" s="224">
        <v>205333649.162</v>
      </c>
      <c r="K44" s="224" t="e">
        <f>+I9-J44</f>
        <v>#REF!</v>
      </c>
      <c r="L44" s="247">
        <v>210351336.89199996</v>
      </c>
      <c r="M44" s="247">
        <v>-145860975.44199997</v>
      </c>
      <c r="N44" s="247">
        <v>213215924.66199994</v>
      </c>
      <c r="O44" s="247">
        <v>-209991406.58949995</v>
      </c>
      <c r="P44" s="224">
        <v>283473495.48199993</v>
      </c>
      <c r="Q44" s="224">
        <v>-283473495.48199993</v>
      </c>
      <c r="R44" s="224" t="e">
        <f>+SUMIF('[4]OBRA 2021'!I:I,[4]RESUMEN!A45,'[4]OBRA 2021'!EH:EH)</f>
        <v>#VALUE!</v>
      </c>
      <c r="S44" s="224" t="e">
        <f>+N9-R44</f>
        <v>#VALUE!</v>
      </c>
    </row>
    <row r="45" spans="1:19">
      <c r="A45" s="225" t="s">
        <v>132</v>
      </c>
      <c r="B45" s="224" t="e">
        <f>+SUMIF('[4]OBRA 2021'!I:I,[4]RESUMEN!A46,'[4]OBRA 2021'!Y:Y)</f>
        <v>#VALUE!</v>
      </c>
      <c r="C45" s="218" t="e">
        <f>+SUMIF('[4]OBRA 2021'!I:I,[4]RESUMEN!A46,'[4]OBRA 2021'!G:G)</f>
        <v>#VALUE!</v>
      </c>
      <c r="D45" s="224">
        <v>13276257.209999999</v>
      </c>
      <c r="E45" s="224" t="e">
        <f>+F7-D45</f>
        <v>#REF!</v>
      </c>
      <c r="F45" s="247">
        <v>28943882.52</v>
      </c>
      <c r="G45" s="224" t="e">
        <f>+G7-F45</f>
        <v>#REF!</v>
      </c>
      <c r="H45" s="224">
        <v>80601614.970000014</v>
      </c>
      <c r="I45" s="224" t="e">
        <f>+H7-H45</f>
        <v>#REF!</v>
      </c>
      <c r="J45" s="224">
        <v>298216846.55000001</v>
      </c>
      <c r="K45" s="224" t="e">
        <f>+I7-J45</f>
        <v>#REF!</v>
      </c>
      <c r="L45" s="247">
        <v>297667588.87</v>
      </c>
      <c r="M45" s="247">
        <v>-214669770.692</v>
      </c>
      <c r="N45" s="247">
        <v>298216846.55000001</v>
      </c>
      <c r="O45" s="247">
        <v>-269167610.18770003</v>
      </c>
      <c r="P45" s="224">
        <v>298216846.55000001</v>
      </c>
      <c r="Q45" s="224">
        <v>-298216846.55000001</v>
      </c>
      <c r="R45" s="224" t="e">
        <f>+SUMIF('[4]OBRA 2021'!I:I,[4]RESUMEN!A46,'[4]OBRA 2021'!EH:EH)</f>
        <v>#VALUE!</v>
      </c>
      <c r="S45" s="224" t="e">
        <f>+N10-R45</f>
        <v>#VALUE!</v>
      </c>
    </row>
    <row r="46" spans="1:19">
      <c r="A46" s="225" t="s">
        <v>230</v>
      </c>
      <c r="B46" s="224" t="e">
        <f>+SUMIF('[4]OBRA 2021'!I:I,[4]RESUMEN!A47,'[4]OBRA 2021'!Y:Y)</f>
        <v>#VALUE!</v>
      </c>
      <c r="C46" s="218" t="e">
        <f>+SUMIF('[4]OBRA 2021'!I:I,[4]RESUMEN!A47,'[4]OBRA 2021'!G:G)</f>
        <v>#VALUE!</v>
      </c>
      <c r="D46" s="224">
        <v>131268911.56999999</v>
      </c>
      <c r="E46" s="224" t="e">
        <f>+F6-D46</f>
        <v>#REF!</v>
      </c>
      <c r="F46" s="247">
        <v>271786906.94</v>
      </c>
      <c r="G46" s="224" t="e">
        <f>+G6-F46</f>
        <v>#REF!</v>
      </c>
      <c r="H46" s="224">
        <v>591118599.18000007</v>
      </c>
      <c r="I46" s="224" t="e">
        <f>+H6-H46</f>
        <v>#REF!</v>
      </c>
      <c r="J46" s="224">
        <v>603339445.09000003</v>
      </c>
      <c r="K46" s="224" t="e">
        <f>+I6-J46</f>
        <v>#REF!</v>
      </c>
      <c r="L46" s="247">
        <v>606721902.08000004</v>
      </c>
      <c r="M46" s="247">
        <v>-517334833.62360001</v>
      </c>
      <c r="N46" s="247">
        <v>659638982.17999995</v>
      </c>
      <c r="O46" s="247">
        <v>-568171729.11159992</v>
      </c>
      <c r="P46" s="224">
        <v>757777035.03999996</v>
      </c>
      <c r="Q46" s="224">
        <v>-666309781.97159994</v>
      </c>
      <c r="R46" s="224" t="e">
        <f>+SUMIF('[4]OBRA 2021'!I:I,[4]RESUMEN!A47,'[4]OBRA 2021'!EH:EH)</f>
        <v>#VALUE!</v>
      </c>
      <c r="S46" s="224" t="e">
        <f>+N6-R46</f>
        <v>#VALUE!</v>
      </c>
    </row>
    <row r="47" spans="1:19">
      <c r="A47" s="225" t="s">
        <v>205</v>
      </c>
      <c r="B47" s="224" t="e">
        <f>+SUMIF('[4]OBRA 2021'!I:I,[4]RESUMEN!A49,'[4]OBRA 2021'!Y:Y)</f>
        <v>#VALUE!</v>
      </c>
      <c r="C47" s="218" t="e">
        <f>+SUMIF('[4]OBRA 2021'!I:I,[4]RESUMEN!A49,'[4]OBRA 2021'!G:G)</f>
        <v>#VALUE!</v>
      </c>
      <c r="D47" s="224">
        <v>0</v>
      </c>
      <c r="E47" s="224" t="e">
        <f>+#REF!-D47</f>
        <v>#REF!</v>
      </c>
      <c r="F47" s="247">
        <v>0</v>
      </c>
      <c r="G47" s="224" t="e">
        <f>+#REF!-F47</f>
        <v>#REF!</v>
      </c>
      <c r="H47" s="224">
        <v>0</v>
      </c>
      <c r="I47" s="224" t="e">
        <f>+#REF!-H47</f>
        <v>#REF!</v>
      </c>
      <c r="J47" s="224">
        <v>0</v>
      </c>
      <c r="K47" s="224" t="e">
        <f>+#REF!-J47</f>
        <v>#REF!</v>
      </c>
      <c r="L47" s="247">
        <v>0</v>
      </c>
      <c r="M47" s="247">
        <v>0</v>
      </c>
      <c r="N47" s="247">
        <v>0</v>
      </c>
      <c r="O47" s="247">
        <v>0</v>
      </c>
      <c r="P47" s="224">
        <v>0</v>
      </c>
      <c r="Q47" s="224">
        <v>0</v>
      </c>
      <c r="R47" s="224" t="e">
        <f>+SUMIF('[4]OBRA 2021'!I:I,[4]RESUMEN!A49,'[4]OBRA 2021'!EH:EH)</f>
        <v>#VALUE!</v>
      </c>
      <c r="S47" s="224" t="e">
        <f>+#REF!-R47</f>
        <v>#REF!</v>
      </c>
    </row>
    <row r="48" spans="1:19">
      <c r="A48" s="225" t="s">
        <v>239</v>
      </c>
      <c r="B48" s="224" t="e">
        <f>+SUMIF('[4]OBRA 2021'!I:I,[4]RESUMEN!A50,'[4]OBRA 2021'!Y:Y)</f>
        <v>#VALUE!</v>
      </c>
      <c r="C48" s="218" t="e">
        <f>+SUMIF('[4]OBRA 2021'!I:I,[4]RESUMEN!A50,'[4]OBRA 2021'!G:G)</f>
        <v>#VALUE!</v>
      </c>
      <c r="D48" s="224">
        <v>0</v>
      </c>
      <c r="E48" s="224">
        <f>+F4-D48</f>
        <v>0</v>
      </c>
      <c r="F48" s="224">
        <v>0</v>
      </c>
      <c r="G48" s="224">
        <f>+G4-F48</f>
        <v>0</v>
      </c>
      <c r="H48" s="224">
        <v>0</v>
      </c>
      <c r="I48" s="224">
        <f>+H4-H48</f>
        <v>0</v>
      </c>
      <c r="J48" s="224">
        <v>0</v>
      </c>
      <c r="K48" s="224">
        <f>+I4-J48</f>
        <v>0</v>
      </c>
      <c r="L48" s="247">
        <v>0</v>
      </c>
      <c r="M48" s="247">
        <v>0</v>
      </c>
      <c r="N48" s="247">
        <v>0</v>
      </c>
      <c r="O48" s="247">
        <v>0</v>
      </c>
      <c r="P48" s="224">
        <v>0</v>
      </c>
      <c r="Q48" s="224">
        <v>0</v>
      </c>
      <c r="R48" s="224" t="e">
        <f>+SUMIF('[4]OBRA 2021'!I:I,[4]RESUMEN!A50,'[4]OBRA 2021'!EH:EH)</f>
        <v>#VALUE!</v>
      </c>
      <c r="S48" s="224" t="e">
        <f>+N4-R48</f>
        <v>#VALUE!</v>
      </c>
    </row>
    <row r="49" spans="1:19">
      <c r="A49" s="225" t="s">
        <v>807</v>
      </c>
      <c r="B49" s="224" t="e">
        <f>+SUMIF('[4]OBRA 2021'!I:I,[4]RESUMEN!A52,'[4]OBRA 2021'!Y:Y)</f>
        <v>#VALUE!</v>
      </c>
      <c r="C49" s="218" t="e">
        <f>+SUMIF('[4]OBRA 2021'!I:I,[4]RESUMEN!A52,'[4]OBRA 2021'!G:G)</f>
        <v>#VALUE!</v>
      </c>
      <c r="D49" s="224">
        <v>0</v>
      </c>
      <c r="E49" s="224">
        <f>+F10-D49</f>
        <v>0</v>
      </c>
      <c r="F49" s="224">
        <v>0</v>
      </c>
      <c r="G49" s="224" t="e">
        <f>+G10-F49</f>
        <v>#REF!</v>
      </c>
      <c r="H49" s="224">
        <v>0</v>
      </c>
      <c r="I49" s="224" t="e">
        <f>+H10-H49</f>
        <v>#REF!</v>
      </c>
      <c r="J49" s="224">
        <v>133999175.45299999</v>
      </c>
      <c r="K49" s="224" t="e">
        <f>+I10-J49</f>
        <v>#REF!</v>
      </c>
      <c r="L49" s="247">
        <v>142016237.083</v>
      </c>
      <c r="M49" s="247">
        <v>-83106303.946999997</v>
      </c>
      <c r="N49" s="247">
        <v>142016237.083</v>
      </c>
      <c r="O49" s="247">
        <v>-142016237.083</v>
      </c>
      <c r="P49" s="224">
        <v>142016237.083</v>
      </c>
      <c r="Q49" s="224">
        <v>-142016237.083</v>
      </c>
      <c r="R49" s="224" t="e">
        <f>+SUMIF('[4]OBRA 2021'!I:I,[4]RESUMEN!A52,'[4]OBRA 2021'!EH:EH)</f>
        <v>#VALUE!</v>
      </c>
      <c r="S49" s="224" t="e">
        <f>+N10-R49</f>
        <v>#VALUE!</v>
      </c>
    </row>
    <row r="50" spans="1:19">
      <c r="A50" s="225" t="s">
        <v>885</v>
      </c>
      <c r="B50" s="224" t="e">
        <f>+SUMIF('[4]OBRA 2021'!I:I,[4]RESUMEN!A53,'[4]OBRA 2021'!Y:Y)</f>
        <v>#VALUE!</v>
      </c>
      <c r="C50" s="218" t="e">
        <f>+SUMIF('[4]OBRA 2021'!I:I,[4]RESUMEN!A53,'[4]OBRA 2021'!G:G)</f>
        <v>#VALUE!</v>
      </c>
      <c r="D50" s="224">
        <v>0</v>
      </c>
      <c r="E50" s="224" t="e">
        <f>+D11-D50</f>
        <v>#REF!</v>
      </c>
      <c r="F50" s="224">
        <v>0</v>
      </c>
      <c r="G50" s="224">
        <f>+F11-F50</f>
        <v>0</v>
      </c>
      <c r="H50" s="224">
        <v>0</v>
      </c>
      <c r="I50" s="224">
        <f>+H11-H50</f>
        <v>0</v>
      </c>
      <c r="J50" s="224">
        <v>0</v>
      </c>
      <c r="K50" s="224">
        <f>+I11-J50</f>
        <v>0</v>
      </c>
      <c r="L50" s="247">
        <v>0</v>
      </c>
      <c r="M50" s="247">
        <v>11340892.741560001</v>
      </c>
      <c r="N50" s="247">
        <v>5257129.55</v>
      </c>
      <c r="O50" s="247">
        <v>6083763.1915600011</v>
      </c>
      <c r="P50" s="224">
        <v>19804018.030000001</v>
      </c>
      <c r="Q50" s="224">
        <v>-8463125.2884400003</v>
      </c>
      <c r="R50" s="224" t="e">
        <f>+SUMIF('[4]OBRA 2021'!I:I,[4]RESUMEN!A53,'[4]OBRA 2021'!EH:EH)</f>
        <v>#VALUE!</v>
      </c>
      <c r="S50" s="224" t="e">
        <f>+N11-R50</f>
        <v>#VALUE!</v>
      </c>
    </row>
  </sheetData>
  <mergeCells count="13">
    <mergeCell ref="M2:M3"/>
    <mergeCell ref="N2:N3"/>
    <mergeCell ref="O2:O3"/>
    <mergeCell ref="E1:I1"/>
    <mergeCell ref="J1:O1"/>
    <mergeCell ref="E2:E3"/>
    <mergeCell ref="F2:F3"/>
    <mergeCell ref="G2:G3"/>
    <mergeCell ref="H2:H3"/>
    <mergeCell ref="I2:I3"/>
    <mergeCell ref="J2:J3"/>
    <mergeCell ref="K2:K3"/>
    <mergeCell ref="L2:L3"/>
  </mergeCells>
  <phoneticPr fontId="11" type="noConversion"/>
  <conditionalFormatting sqref="E43:S50">
    <cfRule type="cellIs" dxfId="1" priority="1" operator="lessThan">
      <formula>0</formula>
    </cfRule>
    <cfRule type="cellIs" dxfId="0" priority="2" operator="greater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7C80"/>
    <pageSetUpPr fitToPage="1"/>
  </sheetPr>
  <dimension ref="A7:L35"/>
  <sheetViews>
    <sheetView topLeftCell="L35" zoomScale="220" zoomScaleNormal="220" zoomScaleSheetLayoutView="40" workbookViewId="0">
      <selection activeCell="L44" sqref="L44"/>
    </sheetView>
  </sheetViews>
  <sheetFormatPr baseColWidth="10" defaultColWidth="11.42578125" defaultRowHeight="15.75"/>
  <cols>
    <col min="1" max="1" width="8.7109375" style="14" customWidth="1"/>
    <col min="2" max="3" width="14.7109375" style="14" customWidth="1"/>
    <col min="4" max="4" width="60.7109375" style="14" customWidth="1"/>
    <col min="5" max="5" width="29.85546875" style="14" customWidth="1"/>
    <col min="6" max="6" width="28.5703125" style="14" customWidth="1"/>
    <col min="7" max="10" width="15.7109375" style="14" customWidth="1"/>
    <col min="11" max="11" width="22.85546875" style="14" customWidth="1"/>
    <col min="12" max="12" width="81.42578125" style="14" customWidth="1"/>
    <col min="13" max="13" width="22.140625" style="14" customWidth="1"/>
    <col min="14" max="16384" width="11.42578125" style="14"/>
  </cols>
  <sheetData>
    <row r="7" spans="1:12">
      <c r="E7" s="448" t="s">
        <v>1452</v>
      </c>
    </row>
    <row r="8" spans="1:12">
      <c r="E8" s="448" t="s">
        <v>1453</v>
      </c>
    </row>
    <row r="9" spans="1:12">
      <c r="E9" s="448" t="s">
        <v>1462</v>
      </c>
    </row>
    <row r="10" spans="1:12" ht="22.5" customHeight="1"/>
    <row r="11" spans="1:12" ht="39.75" customHeight="1">
      <c r="A11" s="490" t="s">
        <v>895</v>
      </c>
      <c r="B11" s="490"/>
      <c r="C11" s="490"/>
      <c r="D11" s="490"/>
      <c r="E11" s="490"/>
      <c r="F11" s="490"/>
      <c r="G11" s="490"/>
      <c r="H11" s="490"/>
      <c r="I11" s="490"/>
      <c r="J11" s="490"/>
      <c r="K11" s="490"/>
      <c r="L11" s="490"/>
    </row>
    <row r="12" spans="1:12" ht="23.25" customHeight="1">
      <c r="A12" s="449"/>
      <c r="B12" s="449"/>
      <c r="C12" s="449"/>
      <c r="D12" s="449"/>
      <c r="E12" s="449"/>
      <c r="F12" s="449"/>
      <c r="G12" s="449"/>
      <c r="H12" s="449"/>
      <c r="I12" s="449"/>
      <c r="J12" s="449"/>
      <c r="K12" s="449"/>
      <c r="L12" s="449"/>
    </row>
    <row r="13" spans="1:12" ht="38.25" customHeight="1">
      <c r="A13" s="490" t="s">
        <v>897</v>
      </c>
      <c r="B13" s="490"/>
      <c r="C13" s="490"/>
      <c r="D13" s="490"/>
      <c r="E13" s="490"/>
      <c r="F13" s="490"/>
      <c r="G13" s="490"/>
      <c r="H13" s="490"/>
      <c r="I13" s="490"/>
      <c r="J13" s="490"/>
      <c r="K13" s="490"/>
      <c r="L13" s="490"/>
    </row>
    <row r="14" spans="1:12" ht="28.5" customHeight="1" thickBot="1"/>
    <row r="15" spans="1:12" ht="62.25" customHeight="1" thickTop="1" thickBot="1">
      <c r="A15" s="450" t="s">
        <v>0</v>
      </c>
      <c r="B15" s="452" t="s">
        <v>1454</v>
      </c>
      <c r="C15" s="452" t="s">
        <v>1455</v>
      </c>
      <c r="D15" s="450" t="s">
        <v>111</v>
      </c>
      <c r="E15" s="450" t="s">
        <v>1456</v>
      </c>
      <c r="F15" s="452" t="s">
        <v>1457</v>
      </c>
      <c r="G15" s="452" t="s">
        <v>1458</v>
      </c>
      <c r="H15" s="452" t="s">
        <v>1459</v>
      </c>
      <c r="I15" s="452" t="s">
        <v>1460</v>
      </c>
      <c r="J15" s="452" t="s">
        <v>45</v>
      </c>
      <c r="K15" s="452" t="s">
        <v>1474</v>
      </c>
      <c r="L15" s="450" t="s">
        <v>1461</v>
      </c>
    </row>
    <row r="16" spans="1:12" ht="30" customHeight="1" thickTop="1">
      <c r="A16" s="467">
        <f t="shared" ref="A16:J16" si="0">SUBTOTAL(3,A17:A35)</f>
        <v>19</v>
      </c>
      <c r="B16" s="467">
        <f t="shared" si="0"/>
        <v>19</v>
      </c>
      <c r="C16" s="467">
        <f t="shared" si="0"/>
        <v>19</v>
      </c>
      <c r="D16" s="467">
        <f t="shared" si="0"/>
        <v>19</v>
      </c>
      <c r="E16" s="467">
        <f t="shared" si="0"/>
        <v>19</v>
      </c>
      <c r="F16" s="467">
        <f t="shared" si="0"/>
        <v>19</v>
      </c>
      <c r="G16" s="467">
        <f t="shared" si="0"/>
        <v>19</v>
      </c>
      <c r="H16" s="467">
        <f t="shared" si="0"/>
        <v>19</v>
      </c>
      <c r="I16" s="467">
        <f t="shared" si="0"/>
        <v>19</v>
      </c>
      <c r="J16" s="467">
        <f t="shared" si="0"/>
        <v>19</v>
      </c>
      <c r="K16" s="467"/>
      <c r="L16" s="467">
        <f>SUBTOTAL(3,L17:L35)</f>
        <v>19</v>
      </c>
    </row>
    <row r="17" spans="1:12" ht="150" customHeight="1">
      <c r="A17" s="207">
        <v>1</v>
      </c>
      <c r="B17" s="20">
        <v>121303</v>
      </c>
      <c r="C17" s="20" t="s">
        <v>230</v>
      </c>
      <c r="D17" s="70" t="s">
        <v>134</v>
      </c>
      <c r="E17" s="20" t="s">
        <v>133</v>
      </c>
      <c r="F17" s="462">
        <v>15949421.18</v>
      </c>
      <c r="G17" s="463">
        <v>44737</v>
      </c>
      <c r="H17" s="463">
        <v>45061</v>
      </c>
      <c r="I17" s="458">
        <v>1</v>
      </c>
      <c r="J17" s="215">
        <v>0.99911356783168237</v>
      </c>
      <c r="K17" s="74" t="e" vm="1">
        <v>#VALUE!</v>
      </c>
      <c r="L17" s="460" t="s">
        <v>1440</v>
      </c>
    </row>
    <row r="18" spans="1:12" ht="190.5" customHeight="1">
      <c r="A18" s="207">
        <f>1+A17</f>
        <v>2</v>
      </c>
      <c r="B18" s="20">
        <v>122289</v>
      </c>
      <c r="C18" s="20" t="s">
        <v>230</v>
      </c>
      <c r="D18" s="70" t="s">
        <v>1198</v>
      </c>
      <c r="E18" s="20" t="s">
        <v>1036</v>
      </c>
      <c r="F18" s="462">
        <v>83521810.530000001</v>
      </c>
      <c r="G18" s="464">
        <v>44835</v>
      </c>
      <c r="H18" s="464">
        <v>45166</v>
      </c>
      <c r="I18" s="465">
        <v>1</v>
      </c>
      <c r="J18" s="215">
        <v>0.9999971681648363</v>
      </c>
      <c r="K18" s="74" t="e" vm="2">
        <v>#VALUE!</v>
      </c>
      <c r="L18" s="460" t="s">
        <v>1476</v>
      </c>
    </row>
    <row r="19" spans="1:12" ht="168.75" customHeight="1">
      <c r="A19" s="207">
        <f t="shared" ref="A19:A35" si="1">1+A18</f>
        <v>3</v>
      </c>
      <c r="B19" s="20">
        <v>121807</v>
      </c>
      <c r="C19" s="20" t="s">
        <v>230</v>
      </c>
      <c r="D19" s="451" t="s">
        <v>1172</v>
      </c>
      <c r="E19" s="20" t="s">
        <v>265</v>
      </c>
      <c r="F19" s="462">
        <v>3276729.09</v>
      </c>
      <c r="G19" s="464">
        <v>44938</v>
      </c>
      <c r="H19" s="464">
        <v>45015</v>
      </c>
      <c r="I19" s="465">
        <v>1</v>
      </c>
      <c r="J19" s="215">
        <v>0.82638204002394366</v>
      </c>
      <c r="K19" s="74" t="e" vm="3">
        <v>#VALUE!</v>
      </c>
      <c r="L19" s="460" t="s">
        <v>1441</v>
      </c>
    </row>
    <row r="20" spans="1:12" ht="159" customHeight="1">
      <c r="A20" s="207">
        <f t="shared" si="1"/>
        <v>4</v>
      </c>
      <c r="B20" s="20">
        <v>121831</v>
      </c>
      <c r="C20" s="20" t="s">
        <v>230</v>
      </c>
      <c r="D20" s="451" t="s">
        <v>1064</v>
      </c>
      <c r="E20" s="20" t="s">
        <v>174</v>
      </c>
      <c r="F20" s="462">
        <v>13602474.43</v>
      </c>
      <c r="G20" s="464">
        <v>44839</v>
      </c>
      <c r="H20" s="464">
        <v>45015</v>
      </c>
      <c r="I20" s="465">
        <v>1</v>
      </c>
      <c r="J20" s="215">
        <v>0.99999999999999989</v>
      </c>
      <c r="K20" s="74" t="e" vm="4">
        <v>#VALUE!</v>
      </c>
      <c r="L20" s="460" t="s">
        <v>1477</v>
      </c>
    </row>
    <row r="21" spans="1:12" ht="120" customHeight="1">
      <c r="A21" s="207">
        <f t="shared" si="1"/>
        <v>5</v>
      </c>
      <c r="B21" s="20">
        <v>121605</v>
      </c>
      <c r="C21" s="20" t="s">
        <v>253</v>
      </c>
      <c r="D21" s="70" t="s">
        <v>251</v>
      </c>
      <c r="E21" s="20" t="s">
        <v>133</v>
      </c>
      <c r="F21" s="462">
        <v>8286921.9400000004</v>
      </c>
      <c r="G21" s="464">
        <v>44741</v>
      </c>
      <c r="H21" s="464">
        <v>45001</v>
      </c>
      <c r="I21" s="465">
        <v>1</v>
      </c>
      <c r="J21" s="215">
        <v>0.99998413645006534</v>
      </c>
      <c r="K21" s="74" t="e" vm="5">
        <v>#VALUE!</v>
      </c>
      <c r="L21" s="460" t="s">
        <v>1442</v>
      </c>
    </row>
    <row r="22" spans="1:12" ht="120" customHeight="1">
      <c r="A22" s="207">
        <f t="shared" si="1"/>
        <v>6</v>
      </c>
      <c r="B22" s="20">
        <v>121617</v>
      </c>
      <c r="C22" s="20" t="s">
        <v>253</v>
      </c>
      <c r="D22" s="70" t="s">
        <v>264</v>
      </c>
      <c r="E22" s="20" t="s">
        <v>265</v>
      </c>
      <c r="F22" s="462">
        <v>9987448.5299999993</v>
      </c>
      <c r="G22" s="464">
        <v>44764</v>
      </c>
      <c r="H22" s="464">
        <v>44910</v>
      </c>
      <c r="I22" s="465">
        <v>1</v>
      </c>
      <c r="J22" s="215">
        <v>0.99975290786304571</v>
      </c>
      <c r="K22" s="74" t="e" vm="6">
        <v>#VALUE!</v>
      </c>
      <c r="L22" s="460" t="s">
        <v>1478</v>
      </c>
    </row>
    <row r="23" spans="1:12" ht="120" customHeight="1">
      <c r="A23" s="207">
        <f t="shared" si="1"/>
        <v>7</v>
      </c>
      <c r="B23" s="20">
        <v>121624</v>
      </c>
      <c r="C23" s="20" t="s">
        <v>253</v>
      </c>
      <c r="D23" s="70" t="s">
        <v>268</v>
      </c>
      <c r="E23" s="20" t="s">
        <v>269</v>
      </c>
      <c r="F23" s="462">
        <v>29993854.27</v>
      </c>
      <c r="G23" s="464">
        <v>44763</v>
      </c>
      <c r="H23" s="464">
        <v>44970</v>
      </c>
      <c r="I23" s="465">
        <v>1</v>
      </c>
      <c r="J23" s="215">
        <v>0.99236687229526899</v>
      </c>
      <c r="K23" s="74" t="e" vm="7">
        <v>#VALUE!</v>
      </c>
      <c r="L23" s="460" t="s">
        <v>1479</v>
      </c>
    </row>
    <row r="24" spans="1:12" ht="120" customHeight="1">
      <c r="A24" s="207">
        <f t="shared" si="1"/>
        <v>8</v>
      </c>
      <c r="B24" s="20">
        <v>121740</v>
      </c>
      <c r="C24" s="20" t="s">
        <v>807</v>
      </c>
      <c r="D24" s="70" t="s">
        <v>790</v>
      </c>
      <c r="E24" s="20" t="s">
        <v>192</v>
      </c>
      <c r="F24" s="462">
        <v>13495954.390000001</v>
      </c>
      <c r="G24" s="464">
        <v>44805</v>
      </c>
      <c r="H24" s="464">
        <v>44926</v>
      </c>
      <c r="I24" s="458">
        <v>1</v>
      </c>
      <c r="J24" s="215">
        <v>0.98917415799002262</v>
      </c>
      <c r="K24" s="74" t="e" vm="8">
        <v>#VALUE!</v>
      </c>
      <c r="L24" s="460" t="s">
        <v>1480</v>
      </c>
    </row>
    <row r="25" spans="1:12" ht="140.1" customHeight="1">
      <c r="A25" s="207">
        <f t="shared" si="1"/>
        <v>9</v>
      </c>
      <c r="B25" s="20">
        <v>121746</v>
      </c>
      <c r="C25" s="20" t="s">
        <v>807</v>
      </c>
      <c r="D25" s="70" t="s">
        <v>796</v>
      </c>
      <c r="E25" s="20" t="s">
        <v>810</v>
      </c>
      <c r="F25" s="462">
        <v>15993740.18</v>
      </c>
      <c r="G25" s="464">
        <v>44811</v>
      </c>
      <c r="H25" s="464">
        <v>44926</v>
      </c>
      <c r="I25" s="458">
        <v>1</v>
      </c>
      <c r="J25" s="215">
        <v>0.99999518749216032</v>
      </c>
      <c r="K25" s="74" t="e" vm="9">
        <v>#VALUE!</v>
      </c>
      <c r="L25" s="460" t="s">
        <v>1443</v>
      </c>
    </row>
    <row r="26" spans="1:12" ht="120" customHeight="1">
      <c r="A26" s="207">
        <f t="shared" si="1"/>
        <v>10</v>
      </c>
      <c r="B26" s="20">
        <v>122200</v>
      </c>
      <c r="C26" s="20" t="s">
        <v>253</v>
      </c>
      <c r="D26" s="70" t="s">
        <v>1091</v>
      </c>
      <c r="E26" s="20" t="s">
        <v>1092</v>
      </c>
      <c r="F26" s="462">
        <v>6998049.3700000001</v>
      </c>
      <c r="G26" s="464">
        <v>44926</v>
      </c>
      <c r="H26" s="464">
        <v>45015</v>
      </c>
      <c r="I26" s="458">
        <v>1</v>
      </c>
      <c r="J26" s="215">
        <v>0.99992998620414131</v>
      </c>
      <c r="K26" s="74" t="e" vm="10">
        <v>#VALUE!</v>
      </c>
      <c r="L26" s="460" t="s">
        <v>1481</v>
      </c>
    </row>
    <row r="27" spans="1:12" ht="101.25" customHeight="1">
      <c r="A27" s="207">
        <f t="shared" si="1"/>
        <v>11</v>
      </c>
      <c r="B27" s="466" t="s">
        <v>69</v>
      </c>
      <c r="C27" s="466" t="s">
        <v>896</v>
      </c>
      <c r="D27" s="266" t="s">
        <v>723</v>
      </c>
      <c r="E27" s="267" t="s">
        <v>150</v>
      </c>
      <c r="F27" s="263">
        <v>1598958.33</v>
      </c>
      <c r="G27" s="268">
        <v>44754</v>
      </c>
      <c r="H27" s="268">
        <v>44783</v>
      </c>
      <c r="I27" s="270">
        <v>1</v>
      </c>
      <c r="J27" s="459">
        <v>0.91554896868388047</v>
      </c>
      <c r="K27" s="265" t="e" vm="11">
        <v>#VALUE!</v>
      </c>
      <c r="L27" s="266" t="s">
        <v>1444</v>
      </c>
    </row>
    <row r="28" spans="1:12" ht="81" customHeight="1">
      <c r="A28" s="207">
        <f t="shared" si="1"/>
        <v>12</v>
      </c>
      <c r="B28" s="466" t="s">
        <v>69</v>
      </c>
      <c r="C28" s="466" t="s">
        <v>896</v>
      </c>
      <c r="D28" s="266" t="s">
        <v>843</v>
      </c>
      <c r="E28" s="267" t="s">
        <v>844</v>
      </c>
      <c r="F28" s="263">
        <v>2722796.83</v>
      </c>
      <c r="G28" s="268">
        <v>44768</v>
      </c>
      <c r="H28" s="268">
        <v>44827</v>
      </c>
      <c r="I28" s="270">
        <v>1</v>
      </c>
      <c r="J28" s="459">
        <v>0.99999834728763071</v>
      </c>
      <c r="K28" s="265" t="e" vm="12">
        <v>#VALUE!</v>
      </c>
      <c r="L28" s="266" t="s">
        <v>1445</v>
      </c>
    </row>
    <row r="29" spans="1:12" ht="93.75" customHeight="1">
      <c r="A29" s="207">
        <f t="shared" si="1"/>
        <v>13</v>
      </c>
      <c r="B29" s="466" t="s">
        <v>69</v>
      </c>
      <c r="C29" s="466" t="s">
        <v>896</v>
      </c>
      <c r="D29" s="266" t="s">
        <v>888</v>
      </c>
      <c r="E29" s="267" t="s">
        <v>150</v>
      </c>
      <c r="F29" s="269">
        <v>7941579.96</v>
      </c>
      <c r="G29" s="268">
        <v>44771</v>
      </c>
      <c r="H29" s="268">
        <v>44860</v>
      </c>
      <c r="I29" s="270">
        <v>1</v>
      </c>
      <c r="J29" s="459">
        <v>0.99992439036022751</v>
      </c>
      <c r="K29" s="265" t="e" vm="13">
        <v>#VALUE!</v>
      </c>
      <c r="L29" s="266" t="s">
        <v>1446</v>
      </c>
    </row>
    <row r="30" spans="1:12" ht="99.75" customHeight="1">
      <c r="A30" s="207">
        <f t="shared" si="1"/>
        <v>14</v>
      </c>
      <c r="B30" s="466" t="s">
        <v>69</v>
      </c>
      <c r="C30" s="466" t="s">
        <v>896</v>
      </c>
      <c r="D30" s="266" t="s">
        <v>933</v>
      </c>
      <c r="E30" s="9" t="s">
        <v>935</v>
      </c>
      <c r="F30" s="13">
        <v>293229.93</v>
      </c>
      <c r="G30" s="10">
        <v>44774</v>
      </c>
      <c r="H30" s="10">
        <v>44803</v>
      </c>
      <c r="I30" s="270">
        <v>1</v>
      </c>
      <c r="J30" s="459">
        <v>0.95825221524965065</v>
      </c>
      <c r="K30" s="457" t="e" vm="14">
        <v>#VALUE!</v>
      </c>
      <c r="L30" s="461" t="s">
        <v>1447</v>
      </c>
    </row>
    <row r="31" spans="1:12" ht="144" customHeight="1">
      <c r="A31" s="207">
        <f t="shared" si="1"/>
        <v>15</v>
      </c>
      <c r="B31" s="466" t="s">
        <v>69</v>
      </c>
      <c r="C31" s="466" t="s">
        <v>896</v>
      </c>
      <c r="D31" s="266" t="s">
        <v>936</v>
      </c>
      <c r="E31" s="9" t="s">
        <v>938</v>
      </c>
      <c r="F31" s="13">
        <v>1890548.52</v>
      </c>
      <c r="G31" s="10">
        <v>44789</v>
      </c>
      <c r="H31" s="10">
        <v>44833</v>
      </c>
      <c r="I31" s="270">
        <v>1</v>
      </c>
      <c r="J31" s="459">
        <v>1</v>
      </c>
      <c r="K31" s="457" t="e" vm="15">
        <v>#VALUE!</v>
      </c>
      <c r="L31" s="266" t="s">
        <v>1448</v>
      </c>
    </row>
    <row r="32" spans="1:12" ht="128.25">
      <c r="A32" s="207">
        <f t="shared" si="1"/>
        <v>16</v>
      </c>
      <c r="B32" s="466" t="s">
        <v>69</v>
      </c>
      <c r="C32" s="466" t="s">
        <v>896</v>
      </c>
      <c r="D32" s="266" t="s">
        <v>985</v>
      </c>
      <c r="E32" s="9" t="s">
        <v>214</v>
      </c>
      <c r="F32" s="13">
        <v>4993291.92</v>
      </c>
      <c r="G32" s="10">
        <v>44814</v>
      </c>
      <c r="H32" s="10">
        <v>44921</v>
      </c>
      <c r="I32" s="270">
        <v>1</v>
      </c>
      <c r="J32" s="459">
        <v>0.79147368375770832</v>
      </c>
      <c r="K32" s="457" t="e" vm="16">
        <v>#VALUE!</v>
      </c>
      <c r="L32" s="266" t="s">
        <v>1482</v>
      </c>
    </row>
    <row r="33" spans="1:12" ht="409.5">
      <c r="A33" s="207">
        <f t="shared" si="1"/>
        <v>17</v>
      </c>
      <c r="B33" s="466" t="s">
        <v>69</v>
      </c>
      <c r="C33" s="466" t="s">
        <v>896</v>
      </c>
      <c r="D33" s="266" t="s">
        <v>986</v>
      </c>
      <c r="E33" s="9" t="s">
        <v>174</v>
      </c>
      <c r="F33" s="13">
        <v>4298567.51</v>
      </c>
      <c r="G33" s="10">
        <v>44814</v>
      </c>
      <c r="H33" s="10">
        <v>44921</v>
      </c>
      <c r="I33" s="270">
        <v>1</v>
      </c>
      <c r="J33" s="459">
        <v>0.99999954403414737</v>
      </c>
      <c r="K33" s="457" t="e" vm="17">
        <v>#VALUE!</v>
      </c>
      <c r="L33" s="266" t="s">
        <v>1449</v>
      </c>
    </row>
    <row r="34" spans="1:12" ht="185.25">
      <c r="A34" s="207">
        <f t="shared" si="1"/>
        <v>18</v>
      </c>
      <c r="B34" s="466" t="s">
        <v>69</v>
      </c>
      <c r="C34" s="466" t="s">
        <v>896</v>
      </c>
      <c r="D34" s="266" t="s">
        <v>948</v>
      </c>
      <c r="E34" s="9" t="s">
        <v>153</v>
      </c>
      <c r="F34" s="13">
        <v>5493470.21</v>
      </c>
      <c r="G34" s="10">
        <v>44818</v>
      </c>
      <c r="H34" s="10">
        <v>44907</v>
      </c>
      <c r="I34" s="270">
        <v>1</v>
      </c>
      <c r="J34" s="459">
        <v>0.99976074139846816</v>
      </c>
      <c r="K34" s="306" t="e" vm="18">
        <v>#VALUE!</v>
      </c>
      <c r="L34" s="481" t="s">
        <v>1450</v>
      </c>
    </row>
    <row r="35" spans="1:12" ht="114">
      <c r="A35" s="207">
        <f t="shared" si="1"/>
        <v>19</v>
      </c>
      <c r="B35" s="466" t="s">
        <v>69</v>
      </c>
      <c r="C35" s="466" t="s">
        <v>896</v>
      </c>
      <c r="D35" s="266" t="s">
        <v>1069</v>
      </c>
      <c r="E35" s="9" t="s">
        <v>154</v>
      </c>
      <c r="F35" s="13">
        <v>500000</v>
      </c>
      <c r="G35" s="10">
        <v>44819</v>
      </c>
      <c r="H35" s="10">
        <v>44848</v>
      </c>
      <c r="I35" s="270">
        <v>1</v>
      </c>
      <c r="J35" s="459">
        <v>1</v>
      </c>
      <c r="K35" s="306" t="e" vm="19">
        <v>#VALUE!</v>
      </c>
      <c r="L35" s="266" t="s">
        <v>1451</v>
      </c>
    </row>
  </sheetData>
  <autoFilter ref="A16:L26" xr:uid="{00000000-0001-0000-0100-000000000000}"/>
  <mergeCells count="2">
    <mergeCell ref="A11:L11"/>
    <mergeCell ref="A13:L13"/>
  </mergeCells>
  <phoneticPr fontId="11" type="noConversion"/>
  <printOptions horizontalCentered="1"/>
  <pageMargins left="0.23622047244094491" right="0.23622047244094491" top="0.55118110236220474" bottom="0.55118110236220474" header="0.31496062992125984" footer="0.31496062992125984"/>
  <pageSetup scale="41" fitToHeight="0" orientation="landscape" r:id="rId1"/>
  <headerFooter>
    <oddFooter>&amp;C&amp;18&amp;P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85A46-7B4B-4E2F-A517-082BEBFE16B8}">
  <sheetPr>
    <pageSetUpPr fitToPage="1"/>
  </sheetPr>
  <dimension ref="B4:M11"/>
  <sheetViews>
    <sheetView zoomScaleNormal="100" workbookViewId="0">
      <selection activeCell="H9" sqref="H9"/>
    </sheetView>
  </sheetViews>
  <sheetFormatPr baseColWidth="10" defaultRowHeight="15"/>
  <cols>
    <col min="1" max="1" width="11.42578125" style="468"/>
    <col min="2" max="2" width="45.28515625" style="468" customWidth="1"/>
    <col min="3" max="6" width="30.7109375" style="468" customWidth="1"/>
    <col min="7" max="16384" width="11.42578125" style="468"/>
  </cols>
  <sheetData>
    <row r="4" spans="2:13">
      <c r="C4" s="469" t="s">
        <v>895</v>
      </c>
    </row>
    <row r="5" spans="2:13">
      <c r="C5" s="469" t="s">
        <v>1463</v>
      </c>
    </row>
    <row r="6" spans="2:13">
      <c r="F6" s="480" t="s">
        <v>1475</v>
      </c>
    </row>
    <row r="7" spans="2:13" ht="82.5" customHeight="1">
      <c r="B7" s="470" t="s">
        <v>1464</v>
      </c>
      <c r="C7" s="471" t="s">
        <v>1465</v>
      </c>
      <c r="D7" s="471" t="s">
        <v>1466</v>
      </c>
      <c r="E7" s="471" t="s">
        <v>1467</v>
      </c>
      <c r="F7" s="471" t="s">
        <v>1468</v>
      </c>
      <c r="G7" s="472"/>
      <c r="H7" s="472"/>
      <c r="I7" s="472"/>
      <c r="J7" s="472"/>
      <c r="K7" s="472"/>
      <c r="L7" s="472"/>
      <c r="M7" s="472"/>
    </row>
    <row r="8" spans="2:13" ht="141.75" customHeight="1">
      <c r="B8" s="473" t="s">
        <v>1483</v>
      </c>
      <c r="C8" s="474" t="s">
        <v>1484</v>
      </c>
      <c r="D8" s="474" t="s">
        <v>1485</v>
      </c>
      <c r="E8" s="474" t="s">
        <v>1486</v>
      </c>
      <c r="F8" s="474" t="s">
        <v>1487</v>
      </c>
      <c r="G8" s="472"/>
      <c r="H8" s="472"/>
      <c r="I8" s="472"/>
      <c r="J8" s="472"/>
      <c r="K8" s="472"/>
      <c r="L8" s="472"/>
      <c r="M8" s="472"/>
    </row>
    <row r="9" spans="2:13" ht="68.099999999999994" customHeight="1">
      <c r="B9" s="475"/>
      <c r="C9" s="491" t="s">
        <v>1469</v>
      </c>
      <c r="D9" s="491"/>
      <c r="E9" s="491"/>
      <c r="F9" s="476"/>
      <c r="G9" s="472"/>
      <c r="H9" s="472"/>
      <c r="I9" s="472"/>
      <c r="J9" s="472"/>
      <c r="K9" s="472"/>
      <c r="L9" s="472"/>
      <c r="M9" s="472"/>
    </row>
    <row r="10" spans="2:13" ht="23.25" customHeight="1">
      <c r="B10" s="477"/>
      <c r="C10" s="472"/>
      <c r="D10" s="478" t="s">
        <v>1470</v>
      </c>
      <c r="E10" s="472"/>
      <c r="F10" s="472"/>
      <c r="G10" s="472"/>
      <c r="H10" s="472"/>
      <c r="I10" s="472"/>
      <c r="J10" s="472"/>
      <c r="K10" s="472"/>
      <c r="L10" s="472"/>
      <c r="M10" s="472"/>
    </row>
    <row r="11" spans="2:13" ht="20.25" customHeight="1">
      <c r="B11" s="477"/>
      <c r="C11" s="472"/>
      <c r="D11" s="478" t="s">
        <v>1471</v>
      </c>
      <c r="E11" s="472"/>
      <c r="F11" s="472"/>
      <c r="G11" s="472"/>
      <c r="H11" s="472"/>
      <c r="I11" s="472"/>
      <c r="J11" s="472"/>
      <c r="K11" s="472"/>
      <c r="L11" s="472"/>
      <c r="M11" s="472"/>
    </row>
  </sheetData>
  <mergeCells count="1">
    <mergeCell ref="C9:E9"/>
  </mergeCells>
  <pageMargins left="0.70866141732283472" right="0.70866141732283472" top="1.3779527559055118" bottom="0.74803149606299213" header="0.31496062992125984" footer="0.31496062992125984"/>
  <pageSetup scale="72"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13749-4430-4B67-98F9-C1C7BF481DE7}">
  <sheetPr>
    <pageSetUpPr fitToPage="1"/>
  </sheetPr>
  <dimension ref="B4:H17"/>
  <sheetViews>
    <sheetView tabSelected="1" view="pageBreakPreview" topLeftCell="A2" zoomScale="130" zoomScaleNormal="100" zoomScaleSheetLayoutView="130" workbookViewId="0">
      <selection activeCell="B9" sqref="B9"/>
    </sheetView>
  </sheetViews>
  <sheetFormatPr baseColWidth="10" defaultRowHeight="15"/>
  <cols>
    <col min="1" max="16384" width="11.42578125" style="468"/>
  </cols>
  <sheetData>
    <row r="4" spans="2:8">
      <c r="D4" s="469" t="s">
        <v>895</v>
      </c>
    </row>
    <row r="5" spans="2:8">
      <c r="D5" s="469" t="s">
        <v>1463</v>
      </c>
    </row>
    <row r="6" spans="2:8" ht="15.75">
      <c r="B6" s="479" t="s">
        <v>1472</v>
      </c>
      <c r="C6" s="479"/>
      <c r="D6" s="479"/>
      <c r="E6" s="479"/>
      <c r="F6" s="479"/>
      <c r="G6" s="472"/>
      <c r="H6" s="472"/>
    </row>
    <row r="7" spans="2:8" ht="15.75">
      <c r="B7" s="479"/>
      <c r="C7" s="479"/>
      <c r="D7" s="479"/>
      <c r="E7" s="479"/>
      <c r="F7" s="479"/>
      <c r="G7" s="472"/>
      <c r="H7" s="472"/>
    </row>
    <row r="8" spans="2:8" ht="15.75">
      <c r="B8" s="479" t="s">
        <v>1488</v>
      </c>
      <c r="C8" s="479"/>
      <c r="D8" s="479"/>
      <c r="E8" s="479"/>
      <c r="F8" s="479"/>
      <c r="G8" s="472"/>
      <c r="H8" s="472"/>
    </row>
    <row r="9" spans="2:8" ht="15.75">
      <c r="B9" s="479"/>
      <c r="C9" s="479"/>
      <c r="D9" s="479"/>
      <c r="E9" s="479"/>
      <c r="F9" s="479"/>
      <c r="G9" s="472"/>
      <c r="H9" s="472"/>
    </row>
    <row r="10" spans="2:8" ht="15.75">
      <c r="B10" s="479"/>
      <c r="C10" s="479"/>
      <c r="D10" s="479"/>
      <c r="E10" s="479"/>
      <c r="F10" s="479"/>
      <c r="G10" s="472"/>
      <c r="H10" s="472"/>
    </row>
    <row r="11" spans="2:8" ht="15.75">
      <c r="B11" s="479"/>
      <c r="C11" s="479"/>
      <c r="D11" s="479"/>
      <c r="E11" s="479"/>
      <c r="F11" s="479"/>
      <c r="G11" s="472"/>
      <c r="H11" s="472"/>
    </row>
    <row r="12" spans="2:8" ht="15.75">
      <c r="B12" s="479"/>
      <c r="C12" s="492" t="s">
        <v>1473</v>
      </c>
      <c r="D12" s="492"/>
      <c r="E12" s="492"/>
      <c r="F12" s="492"/>
      <c r="G12" s="492"/>
      <c r="H12" s="472"/>
    </row>
    <row r="13" spans="2:8" ht="15.75">
      <c r="B13" s="479"/>
      <c r="C13" s="479"/>
      <c r="D13" s="479"/>
      <c r="E13" s="478" t="s">
        <v>1470</v>
      </c>
      <c r="F13" s="479"/>
      <c r="G13" s="472"/>
      <c r="H13" s="472"/>
    </row>
    <row r="14" spans="2:8" ht="15.75">
      <c r="B14" s="479"/>
      <c r="C14" s="479"/>
      <c r="D14" s="479"/>
      <c r="E14" s="478" t="s">
        <v>1471</v>
      </c>
      <c r="F14" s="479"/>
      <c r="G14" s="472"/>
      <c r="H14" s="472"/>
    </row>
    <row r="15" spans="2:8">
      <c r="B15" s="472"/>
      <c r="C15" s="472"/>
      <c r="D15" s="472"/>
      <c r="E15" s="472"/>
      <c r="F15" s="472"/>
      <c r="G15" s="472"/>
      <c r="H15" s="472"/>
    </row>
    <row r="16" spans="2:8">
      <c r="B16" s="472"/>
      <c r="C16" s="472"/>
      <c r="D16" s="472"/>
      <c r="E16" s="472"/>
      <c r="F16" s="472"/>
      <c r="G16" s="472"/>
      <c r="H16" s="472"/>
    </row>
    <row r="17" spans="2:8">
      <c r="B17" s="472"/>
      <c r="C17" s="472"/>
      <c r="D17" s="472"/>
      <c r="E17" s="472"/>
      <c r="F17" s="472"/>
      <c r="G17" s="472"/>
      <c r="H17" s="472"/>
    </row>
  </sheetData>
  <mergeCells count="1">
    <mergeCell ref="C12:G12"/>
  </mergeCells>
  <pageMargins left="1.5748031496062993" right="0.70866141732283472" top="1.3779527559055118" bottom="0.74803149606299213" header="0.31496062992125984" footer="0.31496062992125984"/>
  <pageSetup scale="97"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2E13F-86EA-404B-B9E6-8A296E230C7E}">
  <sheetPr filterMode="1">
    <tabColor rgb="FFFF7C80"/>
  </sheetPr>
  <dimension ref="A1:HT144"/>
  <sheetViews>
    <sheetView zoomScale="55" zoomScaleNormal="55" zoomScaleSheetLayoutView="55" workbookViewId="0">
      <pane xSplit="27" ySplit="6" topLeftCell="AB43" activePane="bottomRight" state="frozen"/>
      <selection activeCell="A15" sqref="A15:XFD15"/>
      <selection pane="topRight" activeCell="A15" sqref="A15:XFD15"/>
      <selection pane="bottomLeft" activeCell="A15" sqref="A15:XFD15"/>
      <selection pane="bottomRight" activeCell="Z39" sqref="Z39"/>
    </sheetView>
  </sheetViews>
  <sheetFormatPr baseColWidth="10" defaultColWidth="11.42578125" defaultRowHeight="15.75"/>
  <cols>
    <col min="1" max="1" width="13.28515625" style="14" customWidth="1"/>
    <col min="2" max="2" width="30.85546875" style="14" hidden="1" customWidth="1"/>
    <col min="3" max="3" width="33.28515625" style="14" hidden="1" customWidth="1"/>
    <col min="4" max="4" width="28.42578125" style="14" hidden="1" customWidth="1"/>
    <col min="5" max="5" width="25.5703125" style="14" hidden="1" customWidth="1"/>
    <col min="6" max="6" width="21.85546875" style="14" customWidth="1"/>
    <col min="7" max="7" width="52.7109375" style="14" customWidth="1"/>
    <col min="8" max="8" width="23.140625" style="14" hidden="1" customWidth="1"/>
    <col min="9" max="9" width="25.42578125" style="14" hidden="1" customWidth="1"/>
    <col min="10" max="10" width="20.7109375" style="14" customWidth="1"/>
    <col min="11" max="11" width="35.28515625" style="14" customWidth="1"/>
    <col min="12" max="12" width="28.85546875" style="14" hidden="1" customWidth="1"/>
    <col min="13" max="13" width="35.28515625" style="14" hidden="1" customWidth="1"/>
    <col min="14" max="14" width="38.140625" style="14" hidden="1" customWidth="1"/>
    <col min="15" max="15" width="29" style="14" hidden="1" customWidth="1"/>
    <col min="16" max="16" width="37.7109375" style="14" customWidth="1"/>
    <col min="17" max="17" width="19" style="14" hidden="1" customWidth="1"/>
    <col min="18" max="18" width="18.7109375" style="14" hidden="1" customWidth="1"/>
    <col min="19" max="19" width="19.42578125" style="14" hidden="1" customWidth="1"/>
    <col min="20" max="20" width="20.85546875" style="14" hidden="1" customWidth="1"/>
    <col min="21" max="21" width="16" style="14" hidden="1" customWidth="1"/>
    <col min="22" max="22" width="23.5703125" style="14" hidden="1" customWidth="1"/>
    <col min="23" max="23" width="28.140625" style="14" hidden="1" customWidth="1"/>
    <col min="24" max="24" width="32" style="14" customWidth="1"/>
    <col min="25" max="25" width="34.140625" style="14" customWidth="1"/>
    <col min="26" max="26" width="28.140625" style="14" customWidth="1"/>
    <col min="27" max="27" width="21" style="14" hidden="1" customWidth="1"/>
    <col min="28" max="137" width="17.5703125" style="14" hidden="1" customWidth="1"/>
    <col min="138" max="138" width="21.42578125" style="14" customWidth="1"/>
    <col min="139" max="139" width="17.5703125" style="14" hidden="1" customWidth="1"/>
    <col min="140" max="140" width="19.85546875" style="14" hidden="1" customWidth="1"/>
    <col min="141" max="141" width="21.85546875" style="14" hidden="1" customWidth="1"/>
    <col min="142" max="142" width="17.5703125" style="14" hidden="1" customWidth="1"/>
    <col min="143" max="143" width="20.42578125" style="14" customWidth="1"/>
    <col min="144" max="144" width="17.5703125" style="14" hidden="1" customWidth="1"/>
    <col min="145" max="145" width="18.7109375" style="14" hidden="1" customWidth="1"/>
    <col min="146" max="146" width="19" style="14" hidden="1" customWidth="1"/>
    <col min="147" max="147" width="16.42578125" style="14" hidden="1" customWidth="1"/>
    <col min="148" max="148" width="17.5703125" style="14" customWidth="1"/>
    <col min="149" max="149" width="23.85546875" style="14" customWidth="1"/>
    <col min="150" max="150" width="33.7109375" style="14" hidden="1" customWidth="1"/>
    <col min="151" max="151" width="17.42578125" style="14" hidden="1" customWidth="1"/>
    <col min="152" max="152" width="14.5703125" style="14" hidden="1" customWidth="1"/>
    <col min="153" max="153" width="14" style="14" hidden="1" customWidth="1"/>
    <col min="154" max="154" width="19.7109375" style="14" hidden="1" customWidth="1"/>
    <col min="155" max="155" width="16.140625" style="14" hidden="1" customWidth="1"/>
    <col min="156" max="156" width="17.5703125" style="14" customWidth="1"/>
    <col min="157" max="157" width="20.42578125" style="14" hidden="1" customWidth="1"/>
    <col min="158" max="158" width="16.5703125" style="14" hidden="1" customWidth="1"/>
    <col min="159" max="159" width="18.28515625" style="14" customWidth="1"/>
    <col min="160" max="160" width="21" style="14" customWidth="1"/>
    <col min="161" max="161" width="24.7109375" style="14" hidden="1" customWidth="1"/>
    <col min="162" max="162" width="19.85546875" style="14" hidden="1" customWidth="1"/>
    <col min="163" max="163" width="21.28515625" style="14" hidden="1" customWidth="1"/>
    <col min="164" max="164" width="21.5703125" style="14" hidden="1" customWidth="1"/>
    <col min="165" max="165" width="31.28515625" style="14" hidden="1" customWidth="1"/>
    <col min="166" max="166" width="49.42578125" style="14" customWidth="1"/>
    <col min="167" max="167" width="24.28515625" style="14" customWidth="1"/>
    <col min="168" max="16384" width="11.42578125" style="14"/>
  </cols>
  <sheetData>
    <row r="1" spans="1:228" ht="28.5" customHeight="1"/>
    <row r="2" spans="1:228" ht="28.5" customHeight="1">
      <c r="A2" s="493" t="s">
        <v>897</v>
      </c>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c r="AW2" s="493"/>
      <c r="AX2" s="493"/>
      <c r="AY2" s="493"/>
      <c r="AZ2" s="493"/>
      <c r="BA2" s="493"/>
      <c r="BB2" s="493"/>
      <c r="BC2" s="493"/>
      <c r="BD2" s="493"/>
      <c r="BE2" s="493"/>
      <c r="BF2" s="493"/>
      <c r="BG2" s="493"/>
      <c r="BH2" s="493"/>
      <c r="BI2" s="493"/>
      <c r="BJ2" s="493"/>
      <c r="BK2" s="493"/>
      <c r="BL2" s="493"/>
      <c r="BM2" s="493"/>
      <c r="BN2" s="493"/>
      <c r="BO2" s="493"/>
      <c r="BP2" s="493"/>
      <c r="BQ2" s="493"/>
      <c r="BR2" s="493"/>
      <c r="BS2" s="493"/>
      <c r="BT2" s="493"/>
      <c r="BU2" s="493"/>
      <c r="BV2" s="493"/>
      <c r="BW2" s="493"/>
      <c r="BX2" s="493"/>
      <c r="BY2" s="493"/>
      <c r="BZ2" s="493"/>
      <c r="CA2" s="493"/>
      <c r="CB2" s="493"/>
      <c r="CC2" s="493"/>
      <c r="CD2" s="493"/>
      <c r="CE2" s="493"/>
      <c r="CF2" s="493"/>
      <c r="CG2" s="493"/>
      <c r="CH2" s="493"/>
      <c r="CI2" s="493"/>
      <c r="CJ2" s="493"/>
      <c r="CK2" s="493"/>
      <c r="CL2" s="493"/>
      <c r="CM2" s="493"/>
      <c r="CN2" s="493"/>
      <c r="CO2" s="493"/>
      <c r="CP2" s="493"/>
      <c r="CQ2" s="493"/>
      <c r="CR2" s="493"/>
      <c r="CS2" s="493"/>
      <c r="CT2" s="493"/>
      <c r="CU2" s="493"/>
      <c r="CV2" s="493"/>
      <c r="CW2" s="493"/>
      <c r="CX2" s="493"/>
      <c r="CY2" s="493"/>
      <c r="CZ2" s="493"/>
      <c r="DA2" s="493"/>
      <c r="DB2" s="493"/>
      <c r="DC2" s="493"/>
      <c r="DD2" s="493"/>
      <c r="DE2" s="493"/>
      <c r="DF2" s="493"/>
      <c r="DG2" s="493"/>
      <c r="DH2" s="493"/>
      <c r="DI2" s="493"/>
      <c r="DJ2" s="493"/>
      <c r="DK2" s="493"/>
      <c r="DL2" s="493"/>
      <c r="DM2" s="493"/>
      <c r="DN2" s="493"/>
      <c r="DO2" s="493"/>
      <c r="DP2" s="493"/>
      <c r="DQ2" s="493"/>
      <c r="DR2" s="493"/>
      <c r="DS2" s="493"/>
      <c r="DT2" s="493"/>
      <c r="DU2" s="493"/>
      <c r="DV2" s="493"/>
      <c r="DW2" s="493"/>
      <c r="DX2" s="493"/>
      <c r="DY2" s="493"/>
      <c r="DZ2" s="493"/>
      <c r="EA2" s="493"/>
      <c r="EB2" s="493"/>
      <c r="EC2" s="493"/>
      <c r="ED2" s="493"/>
      <c r="EE2" s="493"/>
      <c r="EF2" s="493"/>
      <c r="EG2" s="493"/>
      <c r="EH2" s="493"/>
      <c r="EI2" s="493"/>
      <c r="EJ2" s="493"/>
      <c r="EK2" s="493"/>
      <c r="EL2" s="493"/>
      <c r="EM2" s="493"/>
      <c r="EN2" s="493"/>
      <c r="EO2" s="493"/>
      <c r="EP2" s="493"/>
      <c r="EQ2" s="493"/>
      <c r="ER2" s="493"/>
      <c r="ES2" s="493"/>
      <c r="ET2" s="493"/>
      <c r="EU2" s="493"/>
      <c r="EV2" s="493"/>
      <c r="EW2" s="493"/>
      <c r="EX2" s="493"/>
      <c r="EY2" s="493"/>
      <c r="EZ2" s="493"/>
      <c r="FA2" s="493"/>
      <c r="FB2" s="493"/>
      <c r="FC2" s="493"/>
      <c r="FD2" s="493"/>
      <c r="FE2" s="493"/>
      <c r="FF2" s="493"/>
      <c r="FG2" s="493"/>
      <c r="FH2" s="493"/>
      <c r="FI2" s="493"/>
      <c r="FJ2" s="493"/>
    </row>
    <row r="3" spans="1:228" ht="28.5" customHeight="1">
      <c r="A3" s="262"/>
      <c r="B3" s="262"/>
      <c r="C3" s="262"/>
      <c r="D3" s="262"/>
      <c r="E3" s="262"/>
      <c r="F3" s="493" t="s">
        <v>895</v>
      </c>
      <c r="G3" s="493"/>
      <c r="H3" s="493"/>
      <c r="I3" s="493"/>
      <c r="J3" s="493"/>
      <c r="K3" s="493"/>
      <c r="L3" s="493"/>
      <c r="M3" s="493"/>
      <c r="N3" s="493"/>
      <c r="O3" s="493"/>
      <c r="P3" s="493"/>
      <c r="Q3" s="493"/>
      <c r="R3" s="493"/>
      <c r="S3" s="493"/>
      <c r="T3" s="493"/>
      <c r="U3" s="493"/>
      <c r="V3" s="493"/>
      <c r="W3" s="493"/>
      <c r="X3" s="493"/>
      <c r="Y3" s="493"/>
      <c r="Z3" s="493"/>
      <c r="AA3" s="493"/>
      <c r="AB3" s="493"/>
      <c r="AC3" s="493"/>
      <c r="AD3" s="493"/>
      <c r="AE3" s="493"/>
      <c r="AF3" s="493"/>
      <c r="AG3" s="493"/>
      <c r="AH3" s="493"/>
      <c r="AI3" s="493"/>
      <c r="AJ3" s="493"/>
      <c r="AK3" s="493"/>
      <c r="AL3" s="493"/>
      <c r="AM3" s="493"/>
      <c r="AN3" s="493"/>
      <c r="AO3" s="493"/>
      <c r="AP3" s="493"/>
      <c r="AQ3" s="493"/>
      <c r="AR3" s="493"/>
      <c r="AS3" s="493"/>
      <c r="AT3" s="493"/>
      <c r="AU3" s="493"/>
      <c r="AV3" s="493"/>
      <c r="AW3" s="493"/>
      <c r="AX3" s="493"/>
      <c r="AY3" s="493"/>
      <c r="AZ3" s="493"/>
      <c r="BA3" s="493"/>
      <c r="BB3" s="493"/>
      <c r="BC3" s="493"/>
      <c r="BD3" s="493"/>
      <c r="BE3" s="493"/>
      <c r="BF3" s="493"/>
      <c r="BG3" s="493"/>
      <c r="BH3" s="493"/>
      <c r="BI3" s="493"/>
      <c r="BJ3" s="493"/>
      <c r="BK3" s="493"/>
      <c r="BL3" s="493"/>
      <c r="BM3" s="493"/>
      <c r="BN3" s="493"/>
      <c r="BO3" s="493"/>
      <c r="BP3" s="493"/>
      <c r="BQ3" s="493"/>
      <c r="BR3" s="493"/>
      <c r="BS3" s="493"/>
      <c r="BT3" s="493"/>
      <c r="BU3" s="493"/>
      <c r="BV3" s="493"/>
      <c r="BW3" s="493"/>
      <c r="BX3" s="493"/>
      <c r="BY3" s="493"/>
      <c r="BZ3" s="493"/>
      <c r="CA3" s="493"/>
      <c r="CB3" s="493"/>
      <c r="CC3" s="493"/>
      <c r="CD3" s="493"/>
      <c r="CE3" s="493"/>
      <c r="CF3" s="493"/>
      <c r="CG3" s="493"/>
      <c r="CH3" s="493"/>
      <c r="CI3" s="493"/>
      <c r="CJ3" s="493"/>
      <c r="CK3" s="493"/>
      <c r="CL3" s="493"/>
      <c r="CM3" s="493"/>
      <c r="CN3" s="493"/>
      <c r="CO3" s="493"/>
      <c r="CP3" s="493"/>
      <c r="CQ3" s="493"/>
      <c r="CR3" s="493"/>
      <c r="CS3" s="493"/>
      <c r="CT3" s="493"/>
      <c r="CU3" s="493"/>
      <c r="CV3" s="493"/>
      <c r="CW3" s="493"/>
      <c r="CX3" s="493"/>
      <c r="CY3" s="493"/>
      <c r="CZ3" s="493"/>
      <c r="DA3" s="493"/>
      <c r="DB3" s="493"/>
      <c r="DC3" s="493"/>
      <c r="DD3" s="493"/>
      <c r="DE3" s="493"/>
      <c r="DF3" s="493"/>
      <c r="DG3" s="493"/>
      <c r="DH3" s="493"/>
      <c r="DI3" s="493"/>
      <c r="DJ3" s="493"/>
      <c r="DK3" s="493"/>
      <c r="DL3" s="493"/>
      <c r="DM3" s="493"/>
      <c r="DN3" s="493"/>
      <c r="DO3" s="493"/>
      <c r="DP3" s="493"/>
      <c r="DQ3" s="493"/>
      <c r="DR3" s="493"/>
      <c r="DS3" s="493"/>
      <c r="DT3" s="493"/>
      <c r="DU3" s="493"/>
      <c r="DV3" s="493"/>
      <c r="DW3" s="493"/>
      <c r="DX3" s="493"/>
      <c r="DY3" s="493"/>
      <c r="DZ3" s="493"/>
      <c r="EA3" s="493"/>
      <c r="EB3" s="493"/>
      <c r="EC3" s="493"/>
      <c r="ED3" s="493"/>
      <c r="EE3" s="493"/>
      <c r="EF3" s="493"/>
      <c r="EG3" s="493"/>
      <c r="EH3" s="493"/>
      <c r="EI3" s="493"/>
      <c r="EJ3" s="493"/>
      <c r="EK3" s="493"/>
      <c r="EL3" s="493"/>
      <c r="EM3" s="493"/>
      <c r="EN3" s="493"/>
      <c r="EO3" s="493"/>
      <c r="EP3" s="493"/>
      <c r="EQ3" s="493"/>
      <c r="ER3" s="493"/>
      <c r="ES3" s="493"/>
      <c r="ET3" s="493"/>
      <c r="EU3" s="493"/>
      <c r="EV3" s="493"/>
      <c r="EW3" s="493"/>
      <c r="EX3" s="493"/>
      <c r="EY3" s="493"/>
      <c r="EZ3" s="493"/>
      <c r="FA3" s="493"/>
      <c r="FB3" s="493"/>
      <c r="FC3" s="493"/>
      <c r="FD3" s="493"/>
      <c r="FE3" s="493"/>
      <c r="FF3" s="493"/>
      <c r="FG3" s="493"/>
      <c r="FH3" s="493"/>
      <c r="FI3" s="493"/>
      <c r="FJ3" s="493"/>
    </row>
    <row r="4" spans="1:228" ht="28.5" customHeight="1">
      <c r="X4" s="32"/>
      <c r="Y4" s="32"/>
      <c r="Z4" s="32"/>
      <c r="EH4" s="32"/>
      <c r="FJ4" s="202">
        <f ca="1">TODAY()</f>
        <v>45894</v>
      </c>
    </row>
    <row r="5" spans="1:228" ht="103.5" customHeight="1">
      <c r="A5" s="200" t="s">
        <v>0</v>
      </c>
      <c r="B5" s="200" t="s">
        <v>115</v>
      </c>
      <c r="C5" s="200" t="s">
        <v>116</v>
      </c>
      <c r="D5" s="200" t="s">
        <v>117</v>
      </c>
      <c r="E5" s="200" t="s">
        <v>1242</v>
      </c>
      <c r="F5" s="200" t="s">
        <v>110</v>
      </c>
      <c r="G5" s="200" t="s">
        <v>111</v>
      </c>
      <c r="H5" s="201" t="s">
        <v>1</v>
      </c>
      <c r="I5" s="201" t="s">
        <v>2</v>
      </c>
      <c r="J5" s="201" t="s">
        <v>3</v>
      </c>
      <c r="K5" s="201" t="s">
        <v>4</v>
      </c>
      <c r="L5" s="201" t="s">
        <v>5</v>
      </c>
      <c r="M5" s="201" t="s">
        <v>6</v>
      </c>
      <c r="N5" s="201" t="s">
        <v>113</v>
      </c>
      <c r="O5" s="201" t="s">
        <v>114</v>
      </c>
      <c r="P5" s="201" t="s">
        <v>112</v>
      </c>
      <c r="Q5" s="201" t="s">
        <v>54</v>
      </c>
      <c r="R5" s="201" t="s">
        <v>55</v>
      </c>
      <c r="S5" s="201" t="s">
        <v>53</v>
      </c>
      <c r="T5" s="201" t="s">
        <v>52</v>
      </c>
      <c r="U5" s="201" t="s">
        <v>56</v>
      </c>
      <c r="V5" s="201" t="s">
        <v>70</v>
      </c>
      <c r="W5" s="201" t="s">
        <v>7</v>
      </c>
      <c r="X5" s="201" t="s">
        <v>57</v>
      </c>
      <c r="Y5" s="447" t="s">
        <v>1433</v>
      </c>
      <c r="Z5" s="447" t="s">
        <v>1432</v>
      </c>
      <c r="AA5" s="201" t="s">
        <v>10</v>
      </c>
      <c r="AB5" s="201" t="s">
        <v>11</v>
      </c>
      <c r="AC5" s="201" t="s">
        <v>107</v>
      </c>
      <c r="AD5" s="201" t="s">
        <v>13</v>
      </c>
      <c r="AE5" s="201" t="s">
        <v>64</v>
      </c>
      <c r="AF5" s="201" t="s">
        <v>12</v>
      </c>
      <c r="AG5" s="201" t="s">
        <v>118</v>
      </c>
      <c r="AH5" s="201" t="s">
        <v>14</v>
      </c>
      <c r="AI5" s="201" t="s">
        <v>76</v>
      </c>
      <c r="AJ5" s="201" t="s">
        <v>12</v>
      </c>
      <c r="AK5" s="201" t="s">
        <v>124</v>
      </c>
      <c r="AL5" s="201" t="s">
        <v>15</v>
      </c>
      <c r="AM5" s="201" t="s">
        <v>77</v>
      </c>
      <c r="AN5" s="201" t="s">
        <v>12</v>
      </c>
      <c r="AO5" s="201" t="s">
        <v>123</v>
      </c>
      <c r="AP5" s="201" t="s">
        <v>16</v>
      </c>
      <c r="AQ5" s="201" t="s">
        <v>84</v>
      </c>
      <c r="AR5" s="201" t="s">
        <v>12</v>
      </c>
      <c r="AS5" s="201" t="s">
        <v>122</v>
      </c>
      <c r="AT5" s="201" t="s">
        <v>17</v>
      </c>
      <c r="AU5" s="201" t="s">
        <v>85</v>
      </c>
      <c r="AV5" s="201" t="s">
        <v>12</v>
      </c>
      <c r="AW5" s="201" t="s">
        <v>121</v>
      </c>
      <c r="AX5" s="201" t="s">
        <v>18</v>
      </c>
      <c r="AY5" s="201" t="s">
        <v>86</v>
      </c>
      <c r="AZ5" s="201" t="s">
        <v>12</v>
      </c>
      <c r="BA5" s="201" t="s">
        <v>120</v>
      </c>
      <c r="BB5" s="201" t="s">
        <v>19</v>
      </c>
      <c r="BC5" s="201" t="s">
        <v>87</v>
      </c>
      <c r="BD5" s="201" t="s">
        <v>12</v>
      </c>
      <c r="BE5" s="201" t="s">
        <v>119</v>
      </c>
      <c r="BF5" s="201" t="s">
        <v>20</v>
      </c>
      <c r="BG5" s="201" t="s">
        <v>88</v>
      </c>
      <c r="BH5" s="201" t="s">
        <v>12</v>
      </c>
      <c r="BI5" s="201" t="s">
        <v>125</v>
      </c>
      <c r="BJ5" s="201" t="s">
        <v>21</v>
      </c>
      <c r="BK5" s="201" t="s">
        <v>89</v>
      </c>
      <c r="BL5" s="201" t="s">
        <v>12</v>
      </c>
      <c r="BM5" s="201" t="s">
        <v>126</v>
      </c>
      <c r="BN5" s="201" t="s">
        <v>22</v>
      </c>
      <c r="BO5" s="201" t="s">
        <v>90</v>
      </c>
      <c r="BP5" s="201" t="s">
        <v>12</v>
      </c>
      <c r="BQ5" s="201" t="s">
        <v>127</v>
      </c>
      <c r="BR5" s="201" t="s">
        <v>23</v>
      </c>
      <c r="BS5" s="201" t="s">
        <v>91</v>
      </c>
      <c r="BT5" s="201" t="s">
        <v>12</v>
      </c>
      <c r="BU5" s="201" t="s">
        <v>290</v>
      </c>
      <c r="BV5" s="201" t="s">
        <v>24</v>
      </c>
      <c r="BW5" s="201" t="s">
        <v>92</v>
      </c>
      <c r="BX5" s="201" t="s">
        <v>12</v>
      </c>
      <c r="BY5" s="201" t="s">
        <v>291</v>
      </c>
      <c r="BZ5" s="201" t="s">
        <v>25</v>
      </c>
      <c r="CA5" s="201" t="s">
        <v>93</v>
      </c>
      <c r="CB5" s="201" t="s">
        <v>12</v>
      </c>
      <c r="CC5" s="201" t="s">
        <v>292</v>
      </c>
      <c r="CD5" s="201" t="s">
        <v>26</v>
      </c>
      <c r="CE5" s="201" t="s">
        <v>94</v>
      </c>
      <c r="CF5" s="201" t="s">
        <v>12</v>
      </c>
      <c r="CG5" s="201" t="s">
        <v>293</v>
      </c>
      <c r="CH5" s="201" t="s">
        <v>27</v>
      </c>
      <c r="CI5" s="201" t="s">
        <v>95</v>
      </c>
      <c r="CJ5" s="201" t="s">
        <v>12</v>
      </c>
      <c r="CK5" s="201" t="s">
        <v>294</v>
      </c>
      <c r="CL5" s="201" t="s">
        <v>28</v>
      </c>
      <c r="CM5" s="201" t="s">
        <v>96</v>
      </c>
      <c r="CN5" s="201" t="s">
        <v>12</v>
      </c>
      <c r="CO5" s="201" t="s">
        <v>295</v>
      </c>
      <c r="CP5" s="201" t="s">
        <v>29</v>
      </c>
      <c r="CQ5" s="201" t="s">
        <v>97</v>
      </c>
      <c r="CR5" s="201" t="s">
        <v>12</v>
      </c>
      <c r="CS5" s="201" t="s">
        <v>680</v>
      </c>
      <c r="CT5" s="201" t="s">
        <v>30</v>
      </c>
      <c r="CU5" s="201" t="s">
        <v>98</v>
      </c>
      <c r="CV5" s="201" t="s">
        <v>12</v>
      </c>
      <c r="CW5" s="201" t="s">
        <v>681</v>
      </c>
      <c r="CX5" s="201" t="s">
        <v>31</v>
      </c>
      <c r="CY5" s="201" t="s">
        <v>99</v>
      </c>
      <c r="CZ5" s="201" t="s">
        <v>12</v>
      </c>
      <c r="DA5" s="201" t="s">
        <v>32</v>
      </c>
      <c r="DB5" s="201" t="s">
        <v>100</v>
      </c>
      <c r="DC5" s="201" t="s">
        <v>12</v>
      </c>
      <c r="DD5" s="201" t="s">
        <v>33</v>
      </c>
      <c r="DE5" s="201" t="s">
        <v>101</v>
      </c>
      <c r="DF5" s="201" t="s">
        <v>12</v>
      </c>
      <c r="DG5" s="201" t="s">
        <v>34</v>
      </c>
      <c r="DH5" s="201" t="s">
        <v>102</v>
      </c>
      <c r="DI5" s="201" t="s">
        <v>12</v>
      </c>
      <c r="DJ5" s="201" t="s">
        <v>35</v>
      </c>
      <c r="DK5" s="201" t="s">
        <v>103</v>
      </c>
      <c r="DL5" s="201" t="s">
        <v>12</v>
      </c>
      <c r="DM5" s="201" t="s">
        <v>36</v>
      </c>
      <c r="DN5" s="201" t="s">
        <v>104</v>
      </c>
      <c r="DO5" s="201" t="s">
        <v>12</v>
      </c>
      <c r="DP5" s="201" t="s">
        <v>37</v>
      </c>
      <c r="DQ5" s="201" t="s">
        <v>105</v>
      </c>
      <c r="DR5" s="201" t="s">
        <v>12</v>
      </c>
      <c r="DS5" s="201" t="s">
        <v>38</v>
      </c>
      <c r="DT5" s="201" t="s">
        <v>83</v>
      </c>
      <c r="DU5" s="201" t="s">
        <v>12</v>
      </c>
      <c r="DV5" s="201" t="s">
        <v>39</v>
      </c>
      <c r="DW5" s="201" t="s">
        <v>82</v>
      </c>
      <c r="DX5" s="201" t="s">
        <v>12</v>
      </c>
      <c r="DY5" s="201" t="s">
        <v>40</v>
      </c>
      <c r="DZ5" s="201" t="s">
        <v>80</v>
      </c>
      <c r="EA5" s="201" t="s">
        <v>12</v>
      </c>
      <c r="EB5" s="201" t="s">
        <v>41</v>
      </c>
      <c r="EC5" s="201" t="s">
        <v>81</v>
      </c>
      <c r="ED5" s="201" t="s">
        <v>12</v>
      </c>
      <c r="EE5" s="201" t="s">
        <v>42</v>
      </c>
      <c r="EF5" s="201" t="s">
        <v>79</v>
      </c>
      <c r="EG5" s="201" t="s">
        <v>12</v>
      </c>
      <c r="EH5" s="273" t="s">
        <v>1095</v>
      </c>
      <c r="EI5" s="273" t="s">
        <v>65</v>
      </c>
      <c r="EJ5" s="273" t="s">
        <v>106</v>
      </c>
      <c r="EK5" s="273" t="s">
        <v>129</v>
      </c>
      <c r="EL5" s="273" t="s">
        <v>66</v>
      </c>
      <c r="EM5" s="273" t="s">
        <v>43</v>
      </c>
      <c r="EN5" s="273" t="s">
        <v>130</v>
      </c>
      <c r="EO5" s="201" t="s">
        <v>58</v>
      </c>
      <c r="EP5" s="201" t="s">
        <v>44</v>
      </c>
      <c r="EQ5" s="201" t="s">
        <v>59</v>
      </c>
      <c r="ER5" s="201" t="s">
        <v>60</v>
      </c>
      <c r="ES5" s="201" t="s">
        <v>75</v>
      </c>
      <c r="ET5" s="201" t="s">
        <v>74</v>
      </c>
      <c r="EU5" s="201" t="s">
        <v>68</v>
      </c>
      <c r="EV5" s="201" t="s">
        <v>61</v>
      </c>
      <c r="EW5" s="201" t="s">
        <v>67</v>
      </c>
      <c r="EX5" s="201" t="s">
        <v>201</v>
      </c>
      <c r="EY5" s="333" t="s">
        <v>1100</v>
      </c>
      <c r="EZ5" s="201" t="s">
        <v>71</v>
      </c>
      <c r="FA5" s="201" t="s">
        <v>62</v>
      </c>
      <c r="FB5" s="201" t="s">
        <v>109</v>
      </c>
      <c r="FC5" s="201" t="s">
        <v>45</v>
      </c>
      <c r="FD5" s="201" t="s">
        <v>63</v>
      </c>
      <c r="FE5" s="201" t="s">
        <v>46</v>
      </c>
      <c r="FF5" s="58" t="s">
        <v>47</v>
      </c>
      <c r="FG5" s="201" t="s">
        <v>48</v>
      </c>
      <c r="FH5" s="201" t="s">
        <v>49</v>
      </c>
      <c r="FI5" s="201" t="s">
        <v>50</v>
      </c>
      <c r="FJ5" s="201" t="s">
        <v>51</v>
      </c>
    </row>
    <row r="6" spans="1:228" ht="30" customHeight="1">
      <c r="A6" s="59">
        <f>SUBTOTAL(3,A7:A113)</f>
        <v>5</v>
      </c>
      <c r="B6" s="59">
        <f>SUBTOTAL(3,B7:B113)</f>
        <v>6</v>
      </c>
      <c r="C6" s="59">
        <f>SUBTOTAL(3,C7:C113)</f>
        <v>6</v>
      </c>
      <c r="D6" s="59">
        <f>SUBTOTAL(3,D7:D113)</f>
        <v>0</v>
      </c>
      <c r="E6" s="59"/>
      <c r="F6" s="59">
        <f t="shared" ref="F6:P6" si="0">SUBTOTAL(3,F7:F113)</f>
        <v>6</v>
      </c>
      <c r="G6" s="59">
        <f t="shared" si="0"/>
        <v>6</v>
      </c>
      <c r="H6" s="59">
        <f t="shared" si="0"/>
        <v>6</v>
      </c>
      <c r="I6" s="59">
        <f t="shared" si="0"/>
        <v>6</v>
      </c>
      <c r="J6" s="59">
        <f t="shared" si="0"/>
        <v>6</v>
      </c>
      <c r="K6" s="59">
        <f t="shared" si="0"/>
        <v>6</v>
      </c>
      <c r="L6" s="59">
        <f t="shared" si="0"/>
        <v>6</v>
      </c>
      <c r="M6" s="59">
        <f t="shared" si="0"/>
        <v>6</v>
      </c>
      <c r="N6" s="59">
        <f t="shared" si="0"/>
        <v>6</v>
      </c>
      <c r="O6" s="59">
        <f t="shared" si="0"/>
        <v>6</v>
      </c>
      <c r="P6" s="59">
        <f t="shared" si="0"/>
        <v>6</v>
      </c>
      <c r="Q6" s="59">
        <f t="shared" ref="Q6:W6" si="1">SUBTOTAL(3,Q7:Q101)</f>
        <v>0</v>
      </c>
      <c r="R6" s="59">
        <f t="shared" si="1"/>
        <v>0</v>
      </c>
      <c r="S6" s="59">
        <f t="shared" si="1"/>
        <v>0</v>
      </c>
      <c r="T6" s="59">
        <f t="shared" si="1"/>
        <v>0</v>
      </c>
      <c r="U6" s="59">
        <f t="shared" si="1"/>
        <v>0</v>
      </c>
      <c r="V6" s="59">
        <f t="shared" si="1"/>
        <v>6</v>
      </c>
      <c r="W6" s="59">
        <f t="shared" si="1"/>
        <v>6</v>
      </c>
      <c r="X6" s="59">
        <f>SUM(3,X7:X101)</f>
        <v>1068674816.4700006</v>
      </c>
      <c r="Y6" s="59">
        <f>SUM(3,Y7:Y101)</f>
        <v>1239662786.6252003</v>
      </c>
      <c r="Z6" s="59" t="e">
        <f>SUM(3,Z7:EP113)</f>
        <v>#REF!</v>
      </c>
      <c r="AA6" s="59">
        <f t="shared" ref="AA6:BT6" si="2">SUBTOTAL(3,AA7:AA101)</f>
        <v>6</v>
      </c>
      <c r="AB6" s="59">
        <f t="shared" si="2"/>
        <v>6</v>
      </c>
      <c r="AC6" s="59">
        <f t="shared" si="2"/>
        <v>6</v>
      </c>
      <c r="AD6" s="59">
        <f t="shared" si="2"/>
        <v>6</v>
      </c>
      <c r="AE6" s="59">
        <f t="shared" si="2"/>
        <v>6</v>
      </c>
      <c r="AF6" s="59">
        <f t="shared" si="2"/>
        <v>6</v>
      </c>
      <c r="AG6" s="59">
        <f t="shared" si="2"/>
        <v>6</v>
      </c>
      <c r="AH6" s="59">
        <f t="shared" si="2"/>
        <v>6</v>
      </c>
      <c r="AI6" s="59">
        <f t="shared" si="2"/>
        <v>6</v>
      </c>
      <c r="AJ6" s="59">
        <f t="shared" si="2"/>
        <v>6</v>
      </c>
      <c r="AK6" s="59">
        <f t="shared" si="2"/>
        <v>5</v>
      </c>
      <c r="AL6" s="59">
        <f t="shared" si="2"/>
        <v>6</v>
      </c>
      <c r="AM6" s="59">
        <f t="shared" si="2"/>
        <v>6</v>
      </c>
      <c r="AN6" s="59">
        <f t="shared" si="2"/>
        <v>6</v>
      </c>
      <c r="AO6" s="59">
        <f t="shared" si="2"/>
        <v>5</v>
      </c>
      <c r="AP6" s="59">
        <f t="shared" si="2"/>
        <v>5</v>
      </c>
      <c r="AQ6" s="59">
        <f t="shared" si="2"/>
        <v>5</v>
      </c>
      <c r="AR6" s="59">
        <f t="shared" si="2"/>
        <v>5</v>
      </c>
      <c r="AS6" s="59">
        <f t="shared" si="2"/>
        <v>5</v>
      </c>
      <c r="AT6" s="59">
        <f t="shared" si="2"/>
        <v>5</v>
      </c>
      <c r="AU6" s="59">
        <f t="shared" si="2"/>
        <v>5</v>
      </c>
      <c r="AV6" s="59">
        <f t="shared" si="2"/>
        <v>5</v>
      </c>
      <c r="AW6" s="59">
        <f t="shared" si="2"/>
        <v>5</v>
      </c>
      <c r="AX6" s="59">
        <f t="shared" si="2"/>
        <v>5</v>
      </c>
      <c r="AY6" s="59">
        <f t="shared" si="2"/>
        <v>5</v>
      </c>
      <c r="AZ6" s="59">
        <f t="shared" si="2"/>
        <v>5</v>
      </c>
      <c r="BA6" s="59">
        <f t="shared" si="2"/>
        <v>5</v>
      </c>
      <c r="BB6" s="59">
        <f t="shared" si="2"/>
        <v>3</v>
      </c>
      <c r="BC6" s="59">
        <f t="shared" si="2"/>
        <v>3</v>
      </c>
      <c r="BD6" s="59">
        <f t="shared" si="2"/>
        <v>3</v>
      </c>
      <c r="BE6" s="59">
        <f t="shared" si="2"/>
        <v>3</v>
      </c>
      <c r="BF6" s="59">
        <f t="shared" si="2"/>
        <v>3</v>
      </c>
      <c r="BG6" s="59">
        <f t="shared" si="2"/>
        <v>3</v>
      </c>
      <c r="BH6" s="59">
        <f t="shared" si="2"/>
        <v>3</v>
      </c>
      <c r="BI6" s="59">
        <f t="shared" si="2"/>
        <v>3</v>
      </c>
      <c r="BJ6" s="59">
        <f t="shared" si="2"/>
        <v>3</v>
      </c>
      <c r="BK6" s="59">
        <f t="shared" si="2"/>
        <v>3</v>
      </c>
      <c r="BL6" s="59">
        <f t="shared" si="2"/>
        <v>3</v>
      </c>
      <c r="BM6" s="59">
        <f t="shared" si="2"/>
        <v>3</v>
      </c>
      <c r="BN6" s="59">
        <f t="shared" si="2"/>
        <v>3</v>
      </c>
      <c r="BO6" s="59">
        <f t="shared" si="2"/>
        <v>3</v>
      </c>
      <c r="BP6" s="59">
        <f t="shared" si="2"/>
        <v>3</v>
      </c>
      <c r="BQ6" s="59">
        <f t="shared" si="2"/>
        <v>3</v>
      </c>
      <c r="BR6" s="59">
        <f t="shared" si="2"/>
        <v>3</v>
      </c>
      <c r="BS6" s="59">
        <f t="shared" si="2"/>
        <v>3</v>
      </c>
      <c r="BT6" s="59">
        <f t="shared" si="2"/>
        <v>3</v>
      </c>
      <c r="BU6" s="59"/>
      <c r="BV6" s="59">
        <f>SUBTOTAL(3,BV7:BV101)</f>
        <v>0</v>
      </c>
      <c r="BW6" s="59">
        <f>SUBTOTAL(3,BW7:BW101)</f>
        <v>0</v>
      </c>
      <c r="BX6" s="59">
        <f>SUBTOTAL(3,BX7:BX101)</f>
        <v>0</v>
      </c>
      <c r="BY6" s="59"/>
      <c r="BZ6" s="59">
        <f>SUBTOTAL(3,BZ7:BZ101)</f>
        <v>0</v>
      </c>
      <c r="CA6" s="59">
        <f>SUBTOTAL(3,CA7:CA101)</f>
        <v>0</v>
      </c>
      <c r="CB6" s="59">
        <f>SUBTOTAL(3,CB7:CB101)</f>
        <v>0</v>
      </c>
      <c r="CC6" s="59"/>
      <c r="CD6" s="59">
        <f>SUBTOTAL(3,CD7:CD101)</f>
        <v>0</v>
      </c>
      <c r="CE6" s="59">
        <f>SUBTOTAL(3,CE7:CE101)</f>
        <v>0</v>
      </c>
      <c r="CF6" s="59">
        <f>SUBTOTAL(3,CF7:CF101)</f>
        <v>0</v>
      </c>
      <c r="CG6" s="59"/>
      <c r="CH6" s="59">
        <f>SUBTOTAL(3,CH7:CH101)</f>
        <v>0</v>
      </c>
      <c r="CI6" s="59">
        <f>SUBTOTAL(3,CI7:CI101)</f>
        <v>0</v>
      </c>
      <c r="CJ6" s="59">
        <f>SUBTOTAL(3,CJ7:CJ101)</f>
        <v>0</v>
      </c>
      <c r="CK6" s="59"/>
      <c r="CL6" s="59">
        <f>SUBTOTAL(3,CL7:CL101)</f>
        <v>0</v>
      </c>
      <c r="CM6" s="59">
        <f>SUBTOTAL(3,CM7:CM101)</f>
        <v>0</v>
      </c>
      <c r="CN6" s="59">
        <f>SUBTOTAL(3,CN7:CN101)</f>
        <v>0</v>
      </c>
      <c r="CO6" s="59"/>
      <c r="CP6" s="59">
        <f>SUBTOTAL(3,CP7:CP101)</f>
        <v>0</v>
      </c>
      <c r="CQ6" s="59">
        <f>SUBTOTAL(3,CQ7:CQ101)</f>
        <v>0</v>
      </c>
      <c r="CR6" s="59">
        <f>SUBTOTAL(3,CR7:CR101)</f>
        <v>0</v>
      </c>
      <c r="CS6" s="59"/>
      <c r="CT6" s="59">
        <f>SUBTOTAL(3,CT7:CT101)</f>
        <v>0</v>
      </c>
      <c r="CU6" s="59">
        <f>SUBTOTAL(3,CU7:CU101)</f>
        <v>0</v>
      </c>
      <c r="CV6" s="59">
        <f>SUBTOTAL(3,CV7:CV101)</f>
        <v>0</v>
      </c>
      <c r="CW6" s="59"/>
      <c r="CX6" s="59">
        <f t="shared" ref="CX6:EM6" si="3">SUBTOTAL(3,CX7:CX101)</f>
        <v>0</v>
      </c>
      <c r="CY6" s="59">
        <f t="shared" si="3"/>
        <v>0</v>
      </c>
      <c r="CZ6" s="59">
        <f t="shared" si="3"/>
        <v>0</v>
      </c>
      <c r="DA6" s="59">
        <f t="shared" si="3"/>
        <v>0</v>
      </c>
      <c r="DB6" s="59">
        <f t="shared" si="3"/>
        <v>0</v>
      </c>
      <c r="DC6" s="59">
        <f t="shared" si="3"/>
        <v>0</v>
      </c>
      <c r="DD6" s="59">
        <f t="shared" si="3"/>
        <v>0</v>
      </c>
      <c r="DE6" s="59">
        <f t="shared" si="3"/>
        <v>0</v>
      </c>
      <c r="DF6" s="59">
        <f t="shared" si="3"/>
        <v>0</v>
      </c>
      <c r="DG6" s="59">
        <f t="shared" si="3"/>
        <v>0</v>
      </c>
      <c r="DH6" s="59">
        <f t="shared" si="3"/>
        <v>0</v>
      </c>
      <c r="DI6" s="59">
        <f t="shared" si="3"/>
        <v>0</v>
      </c>
      <c r="DJ6" s="59">
        <f t="shared" si="3"/>
        <v>0</v>
      </c>
      <c r="DK6" s="59">
        <f t="shared" si="3"/>
        <v>0</v>
      </c>
      <c r="DL6" s="59">
        <f t="shared" si="3"/>
        <v>0</v>
      </c>
      <c r="DM6" s="59">
        <f t="shared" si="3"/>
        <v>0</v>
      </c>
      <c r="DN6" s="59">
        <f t="shared" si="3"/>
        <v>0</v>
      </c>
      <c r="DO6" s="59">
        <f t="shared" si="3"/>
        <v>0</v>
      </c>
      <c r="DP6" s="59">
        <f t="shared" si="3"/>
        <v>0</v>
      </c>
      <c r="DQ6" s="59">
        <f t="shared" si="3"/>
        <v>0</v>
      </c>
      <c r="DR6" s="59">
        <f t="shared" si="3"/>
        <v>0</v>
      </c>
      <c r="DS6" s="59">
        <f t="shared" si="3"/>
        <v>0</v>
      </c>
      <c r="DT6" s="59">
        <f t="shared" si="3"/>
        <v>0</v>
      </c>
      <c r="DU6" s="59">
        <f t="shared" si="3"/>
        <v>0</v>
      </c>
      <c r="DV6" s="59">
        <f t="shared" si="3"/>
        <v>0</v>
      </c>
      <c r="DW6" s="59">
        <f t="shared" si="3"/>
        <v>0</v>
      </c>
      <c r="DX6" s="59">
        <f t="shared" si="3"/>
        <v>0</v>
      </c>
      <c r="DY6" s="59">
        <f t="shared" si="3"/>
        <v>0</v>
      </c>
      <c r="DZ6" s="59">
        <f t="shared" si="3"/>
        <v>0</v>
      </c>
      <c r="EA6" s="59">
        <f t="shared" si="3"/>
        <v>0</v>
      </c>
      <c r="EB6" s="59">
        <f t="shared" si="3"/>
        <v>0</v>
      </c>
      <c r="EC6" s="59">
        <f t="shared" si="3"/>
        <v>0</v>
      </c>
      <c r="ED6" s="59">
        <f t="shared" si="3"/>
        <v>0</v>
      </c>
      <c r="EE6" s="59">
        <f t="shared" si="3"/>
        <v>0</v>
      </c>
      <c r="EF6" s="59">
        <f t="shared" si="3"/>
        <v>0</v>
      </c>
      <c r="EG6" s="59">
        <f t="shared" si="3"/>
        <v>0</v>
      </c>
      <c r="EH6" s="59">
        <f t="shared" si="3"/>
        <v>6</v>
      </c>
      <c r="EI6" s="59">
        <f t="shared" si="3"/>
        <v>6</v>
      </c>
      <c r="EJ6" s="59">
        <f t="shared" si="3"/>
        <v>6</v>
      </c>
      <c r="EK6" s="59">
        <f t="shared" si="3"/>
        <v>6</v>
      </c>
      <c r="EL6" s="59">
        <f t="shared" si="3"/>
        <v>6</v>
      </c>
      <c r="EM6" s="59">
        <f t="shared" si="3"/>
        <v>6</v>
      </c>
      <c r="EN6" s="59"/>
      <c r="EO6" s="59">
        <f>SUBTOTAL(3,EO7:EO101)</f>
        <v>6</v>
      </c>
      <c r="EP6" s="59">
        <f>SUBTOTAL(3,EP7:EP101)</f>
        <v>0</v>
      </c>
      <c r="EQ6" s="59">
        <f>SUBTOTAL(3,EQ7:EQ113)</f>
        <v>6</v>
      </c>
      <c r="ER6" s="59">
        <f>SUBTOTAL(3,ER7:EX113)</f>
        <v>22</v>
      </c>
      <c r="ES6" s="59">
        <f>SUBTOTAL(3,ES7:ES101)</f>
        <v>5</v>
      </c>
      <c r="ET6" s="59">
        <f>SUBTOTAL(3,ET7:ET101)</f>
        <v>5</v>
      </c>
      <c r="EU6" s="59">
        <f>SUBTOTAL(3,EU7:EU101)</f>
        <v>5</v>
      </c>
      <c r="EV6" s="59">
        <f>SUBTOTAL(3,EV7:EV101)</f>
        <v>0</v>
      </c>
      <c r="EW6" s="59">
        <f>SUBTOTAL(3,EW7:EW101)</f>
        <v>0</v>
      </c>
      <c r="EX6" s="59"/>
      <c r="EY6" s="59"/>
      <c r="EZ6" s="59">
        <f>SUBTOTAL(3,EZ7:EZ113)</f>
        <v>6</v>
      </c>
      <c r="FA6" s="59">
        <f>SUBTOTAL(3,FA7:FA101)</f>
        <v>0</v>
      </c>
      <c r="FB6" s="59">
        <f>SUBTOTAL(3,FB7:FB101)</f>
        <v>6</v>
      </c>
      <c r="FC6" s="59">
        <f>SUBTOTAL(3,FC7:FC113)</f>
        <v>6</v>
      </c>
      <c r="FD6" s="59">
        <f>SUBTOTAL(3,FD7:FD113)</f>
        <v>6</v>
      </c>
      <c r="FE6" s="59">
        <f>SUBTOTAL(3,FE7:FE113)</f>
        <v>6</v>
      </c>
      <c r="FF6" s="59">
        <f>SUBTOTAL(3,FF7:FF101)</f>
        <v>0</v>
      </c>
      <c r="FG6" s="59">
        <f>SUBTOTAL(3,FG7:FG113)</f>
        <v>6</v>
      </c>
      <c r="FH6" s="59">
        <f>SUBTOTAL(3,FH7:FH113)</f>
        <v>6</v>
      </c>
      <c r="FI6" s="59">
        <f>SUBTOTAL(3,FI7:FI113)</f>
        <v>6</v>
      </c>
      <c r="FJ6" s="59">
        <f>SUBTOTAL(3,FJ7:FJ113)</f>
        <v>6</v>
      </c>
    </row>
    <row r="7" spans="1:228" ht="151.5" hidden="1" customHeight="1">
      <c r="A7" s="15">
        <v>1</v>
      </c>
      <c r="B7" s="5" t="s">
        <v>143</v>
      </c>
      <c r="C7" s="16"/>
      <c r="D7" s="17"/>
      <c r="E7" s="17"/>
      <c r="F7" s="47">
        <v>121301</v>
      </c>
      <c r="G7" s="18" t="s">
        <v>136</v>
      </c>
      <c r="H7" s="19">
        <v>8000000</v>
      </c>
      <c r="I7" s="19"/>
      <c r="J7" s="18" t="s">
        <v>230</v>
      </c>
      <c r="K7" s="18" t="s">
        <v>675</v>
      </c>
      <c r="L7" s="18" t="s">
        <v>676</v>
      </c>
      <c r="M7" s="47" t="s">
        <v>677</v>
      </c>
      <c r="N7" s="18" t="s">
        <v>678</v>
      </c>
      <c r="O7" s="47">
        <v>5556776732</v>
      </c>
      <c r="P7" s="20" t="s">
        <v>711</v>
      </c>
      <c r="Q7" s="21"/>
      <c r="R7" s="22"/>
      <c r="S7" s="48">
        <v>44706</v>
      </c>
      <c r="T7" s="48">
        <v>44706</v>
      </c>
      <c r="U7" s="48">
        <v>44715</v>
      </c>
      <c r="V7" s="48">
        <v>44720</v>
      </c>
      <c r="W7" s="48">
        <v>44722</v>
      </c>
      <c r="X7" s="204">
        <v>6853110.9800000004</v>
      </c>
      <c r="Y7" s="23">
        <f t="shared" ref="Y7:Y102" si="4">X7*1.16</f>
        <v>7949608.7368000001</v>
      </c>
      <c r="Z7" s="23">
        <v>7949608.7400000002</v>
      </c>
      <c r="AA7" s="204">
        <f>H7-Z7</f>
        <v>50391.259999999776</v>
      </c>
      <c r="AB7" s="204">
        <v>0</v>
      </c>
      <c r="AC7" s="204">
        <v>0</v>
      </c>
      <c r="AD7" s="204">
        <v>302106.2</v>
      </c>
      <c r="AE7" s="204">
        <v>0</v>
      </c>
      <c r="AF7" s="50">
        <f t="shared" ref="AF7:AF76" si="5">AD7-AE7</f>
        <v>302106.2</v>
      </c>
      <c r="AG7" s="313">
        <v>44802</v>
      </c>
      <c r="AH7" s="204">
        <v>1752101.48</v>
      </c>
      <c r="AI7" s="204">
        <v>0</v>
      </c>
      <c r="AJ7" s="204">
        <f t="shared" ref="AJ7:AJ76" si="6">AH7-AI7</f>
        <v>1752101.48</v>
      </c>
      <c r="AK7" s="313">
        <v>44830</v>
      </c>
      <c r="AL7" s="204">
        <v>4242397.21</v>
      </c>
      <c r="AM7" s="204">
        <v>0</v>
      </c>
      <c r="AN7" s="204">
        <f t="shared" ref="AN7:AN12" si="7">AL7-AM7</f>
        <v>4242397.21</v>
      </c>
      <c r="AO7" s="313">
        <v>44876</v>
      </c>
      <c r="AP7" s="204">
        <v>1648713.93</v>
      </c>
      <c r="AQ7" s="204">
        <v>0</v>
      </c>
      <c r="AR7" s="204">
        <f>AP7-AQ7</f>
        <v>1648713.93</v>
      </c>
      <c r="AS7" s="249" t="s">
        <v>1164</v>
      </c>
      <c r="AT7" s="204"/>
      <c r="AU7" s="204"/>
      <c r="AV7" s="204"/>
      <c r="AW7" s="249"/>
      <c r="AX7" s="204"/>
      <c r="AY7" s="204"/>
      <c r="AZ7" s="204"/>
      <c r="BA7" s="204"/>
      <c r="BB7" s="204"/>
      <c r="BC7" s="204"/>
      <c r="BD7" s="204"/>
      <c r="BE7" s="204"/>
      <c r="BF7" s="204"/>
      <c r="BG7" s="204"/>
      <c r="BH7" s="204"/>
      <c r="BI7" s="204"/>
      <c r="BJ7" s="204"/>
      <c r="BK7" s="204"/>
      <c r="BL7" s="204"/>
      <c r="BM7" s="204"/>
      <c r="BN7" s="204"/>
      <c r="BO7" s="204"/>
      <c r="BP7" s="204"/>
      <c r="BQ7" s="204"/>
      <c r="BR7" s="204"/>
      <c r="BS7" s="204"/>
      <c r="BT7" s="204"/>
      <c r="BU7" s="204"/>
      <c r="BV7" s="204"/>
      <c r="BW7" s="204"/>
      <c r="BX7" s="204"/>
      <c r="BY7" s="204"/>
      <c r="BZ7" s="204"/>
      <c r="CA7" s="204"/>
      <c r="CB7" s="204"/>
      <c r="CC7" s="204"/>
      <c r="CD7" s="204"/>
      <c r="CE7" s="204"/>
      <c r="CF7" s="204"/>
      <c r="CG7" s="204"/>
      <c r="CH7" s="204"/>
      <c r="CI7" s="204"/>
      <c r="CJ7" s="204"/>
      <c r="CK7" s="204"/>
      <c r="CL7" s="204"/>
      <c r="CM7" s="204"/>
      <c r="CN7" s="204"/>
      <c r="CO7" s="204"/>
      <c r="CP7" s="204"/>
      <c r="CQ7" s="204"/>
      <c r="CR7" s="204"/>
      <c r="CS7" s="204"/>
      <c r="CT7" s="204"/>
      <c r="CU7" s="204"/>
      <c r="CV7" s="204"/>
      <c r="CW7" s="204"/>
      <c r="CX7" s="204"/>
      <c r="CY7" s="204"/>
      <c r="CZ7" s="204"/>
      <c r="DA7" s="204"/>
      <c r="DB7" s="204"/>
      <c r="DC7" s="204"/>
      <c r="DD7" s="204"/>
      <c r="DE7" s="204"/>
      <c r="DF7" s="204"/>
      <c r="DG7" s="204"/>
      <c r="DH7" s="204"/>
      <c r="DI7" s="204"/>
      <c r="DJ7" s="204"/>
      <c r="DK7" s="204"/>
      <c r="DL7" s="204"/>
      <c r="DM7" s="204"/>
      <c r="DN7" s="204"/>
      <c r="DO7" s="204"/>
      <c r="DP7" s="204"/>
      <c r="DQ7" s="204"/>
      <c r="DR7" s="204"/>
      <c r="DS7" s="204"/>
      <c r="DT7" s="204"/>
      <c r="DU7" s="204"/>
      <c r="DV7" s="204"/>
      <c r="DW7" s="204"/>
      <c r="DX7" s="204"/>
      <c r="DY7" s="204"/>
      <c r="DZ7" s="204"/>
      <c r="EA7" s="204"/>
      <c r="EB7" s="204"/>
      <c r="EC7" s="204"/>
      <c r="ED7" s="204"/>
      <c r="EE7" s="204"/>
      <c r="EF7" s="204"/>
      <c r="EG7" s="204"/>
      <c r="EH7" s="250">
        <f t="shared" ref="EH7:EJ22" si="8">AD7+AH7+AL7+AP7+AT7+AX7+BB7+BF7+BJ7+BN7+BR7+BV7+BZ7+CD7+CH7+CL7+CP7+CT7+CX7+DA7+DD7+DG7+DJ7+DM7+DP7+DS7+DV7+DY7+EB7+EE7</f>
        <v>7945318.8199999994</v>
      </c>
      <c r="EI7" s="250">
        <f t="shared" si="8"/>
        <v>0</v>
      </c>
      <c r="EJ7" s="250">
        <f t="shared" si="8"/>
        <v>7945318.8199999994</v>
      </c>
      <c r="EK7" s="204">
        <f>EH7+AC7-EI7</f>
        <v>7945318.8199999994</v>
      </c>
      <c r="EL7" s="204">
        <f>AC7-EI7</f>
        <v>0</v>
      </c>
      <c r="EM7" s="255">
        <f>Z7-EH7</f>
        <v>4289.9200000008568</v>
      </c>
      <c r="EN7" s="204">
        <f>EH7-EJ7</f>
        <v>0</v>
      </c>
      <c r="EO7" s="204">
        <f>+AA7+EM7</f>
        <v>54681.180000000633</v>
      </c>
      <c r="EP7" s="204"/>
      <c r="EQ7" s="55">
        <v>44725</v>
      </c>
      <c r="ER7" s="55">
        <v>44904</v>
      </c>
      <c r="ES7" s="18"/>
      <c r="ET7" s="18"/>
      <c r="EU7" s="19"/>
      <c r="EV7" s="18"/>
      <c r="EW7" s="18"/>
      <c r="EX7" s="54" t="s">
        <v>1375</v>
      </c>
      <c r="EY7" s="331">
        <f>EH7/Z7</f>
        <v>0.9994603608629925</v>
      </c>
      <c r="EZ7" s="332">
        <v>1</v>
      </c>
      <c r="FA7" s="336"/>
      <c r="FB7" s="336">
        <f>FA7-EZ7</f>
        <v>-1</v>
      </c>
      <c r="FC7" s="337">
        <f>(AC7+EH7-EI7)/Z7</f>
        <v>0.9994603608629925</v>
      </c>
      <c r="FD7" s="338" t="s">
        <v>147</v>
      </c>
      <c r="FE7" s="47" t="s">
        <v>73</v>
      </c>
      <c r="FF7" s="47"/>
      <c r="FG7" s="47" t="s">
        <v>138</v>
      </c>
      <c r="FH7" s="47" t="s">
        <v>148</v>
      </c>
      <c r="FI7" s="25">
        <v>9000</v>
      </c>
      <c r="FJ7" s="51" t="s">
        <v>1282</v>
      </c>
    </row>
    <row r="8" spans="1:228" ht="135" hidden="1" customHeight="1">
      <c r="A8" s="15">
        <f>A7+1</f>
        <v>2</v>
      </c>
      <c r="B8" s="5" t="s">
        <v>143</v>
      </c>
      <c r="C8" s="16"/>
      <c r="D8" s="17"/>
      <c r="E8" s="17"/>
      <c r="F8" s="47">
        <v>121302</v>
      </c>
      <c r="G8" s="18" t="s">
        <v>135</v>
      </c>
      <c r="H8" s="19">
        <v>8000000</v>
      </c>
      <c r="I8" s="19"/>
      <c r="J8" s="18" t="s">
        <v>230</v>
      </c>
      <c r="K8" s="18" t="s">
        <v>675</v>
      </c>
      <c r="L8" s="18" t="s">
        <v>676</v>
      </c>
      <c r="M8" s="47" t="s">
        <v>677</v>
      </c>
      <c r="N8" s="18" t="s">
        <v>678</v>
      </c>
      <c r="O8" s="47">
        <v>5556776732</v>
      </c>
      <c r="P8" s="20" t="s">
        <v>712</v>
      </c>
      <c r="Q8" s="21"/>
      <c r="R8" s="22"/>
      <c r="S8" s="48">
        <v>44706</v>
      </c>
      <c r="T8" s="48">
        <v>44706</v>
      </c>
      <c r="U8" s="48">
        <v>44715</v>
      </c>
      <c r="V8" s="48">
        <v>44720</v>
      </c>
      <c r="W8" s="48">
        <v>44722</v>
      </c>
      <c r="X8" s="204">
        <v>6871684.1699999999</v>
      </c>
      <c r="Y8" s="23">
        <f t="shared" si="4"/>
        <v>7971153.6371999998</v>
      </c>
      <c r="Z8" s="23">
        <f>7971153.64</f>
        <v>7971153.6399999997</v>
      </c>
      <c r="AA8" s="204">
        <f t="shared" ref="AA8:AA71" si="9">H8-Z8</f>
        <v>28846.360000000335</v>
      </c>
      <c r="AB8" s="204">
        <v>0</v>
      </c>
      <c r="AC8" s="204">
        <v>0</v>
      </c>
      <c r="AD8" s="204">
        <v>395038.59</v>
      </c>
      <c r="AE8" s="204">
        <v>0</v>
      </c>
      <c r="AF8" s="50">
        <f t="shared" si="5"/>
        <v>395038.59</v>
      </c>
      <c r="AG8" s="314">
        <v>44802</v>
      </c>
      <c r="AH8" s="204">
        <v>1349250.15</v>
      </c>
      <c r="AI8" s="204">
        <v>0</v>
      </c>
      <c r="AJ8" s="204">
        <f t="shared" si="6"/>
        <v>1349250.15</v>
      </c>
      <c r="AK8" s="313">
        <v>44830</v>
      </c>
      <c r="AL8" s="204">
        <v>3025828.46</v>
      </c>
      <c r="AM8" s="204">
        <v>0</v>
      </c>
      <c r="AN8" s="204">
        <f t="shared" si="7"/>
        <v>3025828.46</v>
      </c>
      <c r="AO8" s="313">
        <v>44876</v>
      </c>
      <c r="AP8" s="204">
        <v>3034344.73</v>
      </c>
      <c r="AQ8" s="204">
        <v>0</v>
      </c>
      <c r="AR8" s="204">
        <f>AP8-AQ8</f>
        <v>3034344.73</v>
      </c>
      <c r="AS8" s="204"/>
      <c r="AT8" s="204">
        <v>154522.75</v>
      </c>
      <c r="AU8" s="204">
        <v>0</v>
      </c>
      <c r="AV8" s="204">
        <f>AT8-AU8</f>
        <v>154522.75</v>
      </c>
      <c r="AW8" s="204" t="s">
        <v>305</v>
      </c>
      <c r="AX8" s="204"/>
      <c r="AY8" s="204"/>
      <c r="AZ8" s="204"/>
      <c r="BA8" s="204"/>
      <c r="BB8" s="204"/>
      <c r="BC8" s="204"/>
      <c r="BD8" s="204"/>
      <c r="BE8" s="204"/>
      <c r="BF8" s="204"/>
      <c r="BG8" s="204"/>
      <c r="BH8" s="204"/>
      <c r="BI8" s="204"/>
      <c r="BJ8" s="204"/>
      <c r="BK8" s="204"/>
      <c r="BL8" s="204"/>
      <c r="BM8" s="204"/>
      <c r="BN8" s="204"/>
      <c r="BO8" s="204"/>
      <c r="BP8" s="204"/>
      <c r="BQ8" s="204"/>
      <c r="BR8" s="204"/>
      <c r="BS8" s="204"/>
      <c r="BT8" s="204"/>
      <c r="BU8" s="204"/>
      <c r="BV8" s="204"/>
      <c r="BW8" s="204"/>
      <c r="BX8" s="204"/>
      <c r="BY8" s="204"/>
      <c r="BZ8" s="204"/>
      <c r="CA8" s="204"/>
      <c r="CB8" s="204"/>
      <c r="CC8" s="204"/>
      <c r="CD8" s="204"/>
      <c r="CE8" s="204"/>
      <c r="CF8" s="204"/>
      <c r="CG8" s="204"/>
      <c r="CH8" s="204"/>
      <c r="CI8" s="204"/>
      <c r="CJ8" s="204"/>
      <c r="CK8" s="204"/>
      <c r="CL8" s="204"/>
      <c r="CM8" s="204"/>
      <c r="CN8" s="204"/>
      <c r="CO8" s="204"/>
      <c r="CP8" s="204"/>
      <c r="CQ8" s="204"/>
      <c r="CR8" s="204"/>
      <c r="CS8" s="204"/>
      <c r="CT8" s="204"/>
      <c r="CU8" s="204"/>
      <c r="CV8" s="204"/>
      <c r="CW8" s="204"/>
      <c r="CX8" s="204"/>
      <c r="CY8" s="204"/>
      <c r="CZ8" s="204"/>
      <c r="DA8" s="204"/>
      <c r="DB8" s="204"/>
      <c r="DC8" s="204"/>
      <c r="DD8" s="204"/>
      <c r="DE8" s="204"/>
      <c r="DF8" s="204"/>
      <c r="DG8" s="204"/>
      <c r="DH8" s="204"/>
      <c r="DI8" s="204"/>
      <c r="DJ8" s="204"/>
      <c r="DK8" s="204"/>
      <c r="DL8" s="204"/>
      <c r="DM8" s="204"/>
      <c r="DN8" s="204"/>
      <c r="DO8" s="204"/>
      <c r="DP8" s="204"/>
      <c r="DQ8" s="204"/>
      <c r="DR8" s="204"/>
      <c r="DS8" s="204"/>
      <c r="DT8" s="204"/>
      <c r="DU8" s="204"/>
      <c r="DV8" s="204"/>
      <c r="DW8" s="204"/>
      <c r="DX8" s="204"/>
      <c r="DY8" s="204"/>
      <c r="DZ8" s="204"/>
      <c r="EA8" s="204"/>
      <c r="EB8" s="204"/>
      <c r="EC8" s="204"/>
      <c r="ED8" s="204"/>
      <c r="EE8" s="204"/>
      <c r="EF8" s="204"/>
      <c r="EG8" s="204"/>
      <c r="EH8" s="250">
        <f t="shared" si="8"/>
        <v>7958984.6799999997</v>
      </c>
      <c r="EI8" s="250">
        <f t="shared" si="8"/>
        <v>0</v>
      </c>
      <c r="EJ8" s="250">
        <f t="shared" si="8"/>
        <v>7958984.6799999997</v>
      </c>
      <c r="EK8" s="204">
        <f t="shared" ref="EK8:EK102" si="10">EH8+AC8-EI8</f>
        <v>7958984.6799999997</v>
      </c>
      <c r="EL8" s="204">
        <f t="shared" ref="EL8:EL30" si="11">AC8-EI8</f>
        <v>0</v>
      </c>
      <c r="EM8" s="255">
        <f t="shared" ref="EM8:EM102" si="12">Z8-EH8</f>
        <v>12168.959999999963</v>
      </c>
      <c r="EN8" s="204">
        <f t="shared" ref="EN8:EN102" si="13">EH8-EJ8</f>
        <v>0</v>
      </c>
      <c r="EO8" s="204">
        <f t="shared" ref="EO8:EO102" si="14">+AA8+EM8</f>
        <v>41015.320000000298</v>
      </c>
      <c r="EP8" s="204"/>
      <c r="EQ8" s="54">
        <v>44725</v>
      </c>
      <c r="ER8" s="54">
        <v>44904</v>
      </c>
      <c r="ES8" s="18"/>
      <c r="ET8" s="54" t="s">
        <v>1166</v>
      </c>
      <c r="EU8" s="18"/>
      <c r="EV8" s="18"/>
      <c r="EW8" s="18"/>
      <c r="EX8" s="18"/>
      <c r="EY8" s="331">
        <f t="shared" ref="EY8:EY71" si="15">EH8/Z8</f>
        <v>0.99847337530430536</v>
      </c>
      <c r="EZ8" s="332">
        <v>1</v>
      </c>
      <c r="FA8" s="336"/>
      <c r="FB8" s="336">
        <f t="shared" ref="FB8:FB114" si="16">FA8-EZ8</f>
        <v>-1</v>
      </c>
      <c r="FC8" s="337">
        <f>(AC8+EH8-EI8)/Z8</f>
        <v>0.99847337530430536</v>
      </c>
      <c r="FD8" s="338" t="s">
        <v>147</v>
      </c>
      <c r="FE8" s="47" t="s">
        <v>73</v>
      </c>
      <c r="FF8" s="47"/>
      <c r="FG8" s="47" t="s">
        <v>138</v>
      </c>
      <c r="FH8" s="47" t="s">
        <v>148</v>
      </c>
      <c r="FI8" s="25">
        <v>10000</v>
      </c>
      <c r="FJ8" s="51" t="s">
        <v>1283</v>
      </c>
    </row>
    <row r="9" spans="1:228" ht="244.5" hidden="1" customHeight="1">
      <c r="A9" s="15">
        <v>1</v>
      </c>
      <c r="B9" s="5" t="s">
        <v>143</v>
      </c>
      <c r="C9" s="16"/>
      <c r="D9" s="17"/>
      <c r="E9" s="17"/>
      <c r="F9" s="47">
        <v>121303</v>
      </c>
      <c r="G9" s="18" t="s">
        <v>134</v>
      </c>
      <c r="H9" s="19">
        <v>16000000</v>
      </c>
      <c r="I9" s="19"/>
      <c r="J9" s="18" t="s">
        <v>230</v>
      </c>
      <c r="K9" s="18" t="s">
        <v>724</v>
      </c>
      <c r="L9" s="18" t="s">
        <v>740</v>
      </c>
      <c r="M9" s="47" t="s">
        <v>741</v>
      </c>
      <c r="N9" s="18" t="s">
        <v>742</v>
      </c>
      <c r="O9" s="47">
        <v>7223809554</v>
      </c>
      <c r="P9" s="207" t="s">
        <v>674</v>
      </c>
      <c r="Q9" s="21"/>
      <c r="R9" s="22"/>
      <c r="S9" s="48">
        <v>44718</v>
      </c>
      <c r="T9" s="48">
        <v>44718</v>
      </c>
      <c r="U9" s="48">
        <v>44727</v>
      </c>
      <c r="V9" s="48">
        <v>44735</v>
      </c>
      <c r="W9" s="48">
        <v>44736</v>
      </c>
      <c r="X9" s="23">
        <v>13749501.02</v>
      </c>
      <c r="Y9" s="23">
        <f t="shared" si="4"/>
        <v>15949421.183199998</v>
      </c>
      <c r="Z9" s="23">
        <v>15949421.18</v>
      </c>
      <c r="AA9" s="204">
        <f t="shared" si="9"/>
        <v>50578.820000000298</v>
      </c>
      <c r="AB9" s="204">
        <v>0</v>
      </c>
      <c r="AC9" s="204">
        <v>0</v>
      </c>
      <c r="AD9" s="23">
        <v>3774470.71</v>
      </c>
      <c r="AE9" s="204">
        <v>0</v>
      </c>
      <c r="AF9" s="50">
        <f t="shared" si="5"/>
        <v>3774470.71</v>
      </c>
      <c r="AG9" s="314">
        <v>44894</v>
      </c>
      <c r="AH9" s="50">
        <v>2104465.81</v>
      </c>
      <c r="AI9" s="204">
        <v>0</v>
      </c>
      <c r="AJ9" s="204">
        <f t="shared" si="6"/>
        <v>2104465.81</v>
      </c>
      <c r="AK9" s="204"/>
      <c r="AL9" s="204">
        <v>4722719.1500000004</v>
      </c>
      <c r="AM9" s="204">
        <v>0</v>
      </c>
      <c r="AN9" s="204">
        <f t="shared" si="7"/>
        <v>4722719.1500000004</v>
      </c>
      <c r="AO9" s="204"/>
      <c r="AP9" s="204">
        <v>3600938.51</v>
      </c>
      <c r="AQ9" s="204">
        <v>0</v>
      </c>
      <c r="AR9" s="204">
        <f>AP9-AQ9</f>
        <v>3600938.51</v>
      </c>
      <c r="AS9" s="204"/>
      <c r="AT9" s="204">
        <v>1871935.96</v>
      </c>
      <c r="AU9" s="204">
        <v>0</v>
      </c>
      <c r="AV9" s="204">
        <f>AT9-AU9</f>
        <v>1871935.96</v>
      </c>
      <c r="AW9" s="204" t="s">
        <v>1186</v>
      </c>
      <c r="AX9" s="204"/>
      <c r="AY9" s="204"/>
      <c r="AZ9" s="204"/>
      <c r="BA9" s="204"/>
      <c r="BB9" s="204"/>
      <c r="BC9" s="204"/>
      <c r="BD9" s="204"/>
      <c r="BE9" s="204"/>
      <c r="BF9" s="204"/>
      <c r="BG9" s="204"/>
      <c r="BH9" s="204"/>
      <c r="BI9" s="204"/>
      <c r="BJ9" s="204"/>
      <c r="BK9" s="204"/>
      <c r="BL9" s="204"/>
      <c r="BM9" s="204"/>
      <c r="BN9" s="204"/>
      <c r="BO9" s="204"/>
      <c r="BP9" s="204"/>
      <c r="BQ9" s="204"/>
      <c r="BR9" s="204"/>
      <c r="BS9" s="204"/>
      <c r="BT9" s="204"/>
      <c r="BU9" s="204"/>
      <c r="BV9" s="204"/>
      <c r="BW9" s="204"/>
      <c r="BX9" s="204"/>
      <c r="BY9" s="204"/>
      <c r="BZ9" s="204"/>
      <c r="CA9" s="204"/>
      <c r="CB9" s="204"/>
      <c r="CC9" s="204"/>
      <c r="CD9" s="204"/>
      <c r="CE9" s="204"/>
      <c r="CF9" s="204"/>
      <c r="CG9" s="204"/>
      <c r="CH9" s="204"/>
      <c r="CI9" s="204"/>
      <c r="CJ9" s="204"/>
      <c r="CK9" s="204"/>
      <c r="CL9" s="204"/>
      <c r="CM9" s="204"/>
      <c r="CN9" s="204"/>
      <c r="CO9" s="204"/>
      <c r="CP9" s="204"/>
      <c r="CQ9" s="204"/>
      <c r="CR9" s="204"/>
      <c r="CS9" s="204"/>
      <c r="CT9" s="204"/>
      <c r="CU9" s="204"/>
      <c r="CV9" s="204"/>
      <c r="CW9" s="204"/>
      <c r="CX9" s="204"/>
      <c r="CY9" s="204"/>
      <c r="CZ9" s="204"/>
      <c r="DA9" s="204"/>
      <c r="DB9" s="204"/>
      <c r="DC9" s="204"/>
      <c r="DD9" s="204"/>
      <c r="DE9" s="204"/>
      <c r="DF9" s="204"/>
      <c r="DG9" s="204"/>
      <c r="DH9" s="204"/>
      <c r="DI9" s="204"/>
      <c r="DJ9" s="204"/>
      <c r="DK9" s="204"/>
      <c r="DL9" s="204"/>
      <c r="DM9" s="204"/>
      <c r="DN9" s="204"/>
      <c r="DO9" s="204"/>
      <c r="DP9" s="204"/>
      <c r="DQ9" s="204"/>
      <c r="DR9" s="204"/>
      <c r="DS9" s="204"/>
      <c r="DT9" s="204"/>
      <c r="DU9" s="204"/>
      <c r="DV9" s="204"/>
      <c r="DW9" s="204"/>
      <c r="DX9" s="204"/>
      <c r="DY9" s="204"/>
      <c r="DZ9" s="204"/>
      <c r="EA9" s="204"/>
      <c r="EB9" s="204"/>
      <c r="EC9" s="204"/>
      <c r="ED9" s="204"/>
      <c r="EE9" s="204"/>
      <c r="EF9" s="204"/>
      <c r="EG9" s="204"/>
      <c r="EH9" s="250">
        <f t="shared" si="8"/>
        <v>16074530.140000001</v>
      </c>
      <c r="EI9" s="250">
        <f t="shared" si="8"/>
        <v>0</v>
      </c>
      <c r="EJ9" s="250">
        <f t="shared" si="8"/>
        <v>16074530.140000001</v>
      </c>
      <c r="EK9" s="204">
        <f t="shared" si="10"/>
        <v>16074530.140000001</v>
      </c>
      <c r="EL9" s="204">
        <f t="shared" si="11"/>
        <v>0</v>
      </c>
      <c r="EM9" s="204">
        <f t="shared" si="12"/>
        <v>-125108.96000000089</v>
      </c>
      <c r="EN9" s="204">
        <f t="shared" si="13"/>
        <v>0</v>
      </c>
      <c r="EO9" s="204">
        <f t="shared" si="14"/>
        <v>-74530.140000000596</v>
      </c>
      <c r="EP9" s="204"/>
      <c r="EQ9" s="54">
        <v>44737</v>
      </c>
      <c r="ER9" s="432">
        <v>45061</v>
      </c>
      <c r="ES9" s="18"/>
      <c r="ET9" s="54" t="s">
        <v>1304</v>
      </c>
      <c r="EU9" s="18"/>
      <c r="EV9" s="18"/>
      <c r="EW9" s="18"/>
      <c r="EX9" s="18"/>
      <c r="EY9" s="331">
        <f t="shared" si="15"/>
        <v>1.0078441066034975</v>
      </c>
      <c r="EZ9" s="425">
        <v>0.9</v>
      </c>
      <c r="FA9" s="336"/>
      <c r="FB9" s="336">
        <f t="shared" si="16"/>
        <v>-0.9</v>
      </c>
      <c r="FC9" s="337">
        <f>(AC9+EH9-EI9)/Z9</f>
        <v>1.0078441066034975</v>
      </c>
      <c r="FD9" s="338" t="s">
        <v>149</v>
      </c>
      <c r="FE9" s="47" t="s">
        <v>133</v>
      </c>
      <c r="FF9" s="47"/>
      <c r="FG9" s="47" t="s">
        <v>139</v>
      </c>
      <c r="FH9" s="47" t="s">
        <v>140</v>
      </c>
      <c r="FI9" s="25">
        <v>6950</v>
      </c>
      <c r="FJ9" s="51" t="s">
        <v>1408</v>
      </c>
      <c r="FK9" s="431"/>
    </row>
    <row r="10" spans="1:228" ht="146.25" hidden="1" customHeight="1">
      <c r="A10" s="15">
        <f>A9+1</f>
        <v>2</v>
      </c>
      <c r="B10" s="5" t="s">
        <v>143</v>
      </c>
      <c r="C10" s="16"/>
      <c r="D10" s="17"/>
      <c r="E10" s="17"/>
      <c r="F10" s="47">
        <v>121304</v>
      </c>
      <c r="G10" s="18" t="s">
        <v>141</v>
      </c>
      <c r="H10" s="19">
        <v>15500000</v>
      </c>
      <c r="I10" s="19"/>
      <c r="J10" s="18" t="s">
        <v>230</v>
      </c>
      <c r="K10" s="18" t="s">
        <v>198</v>
      </c>
      <c r="L10" s="18" t="s">
        <v>199</v>
      </c>
      <c r="M10" s="47" t="s">
        <v>918</v>
      </c>
      <c r="N10" s="18" t="s">
        <v>775</v>
      </c>
      <c r="O10" s="47">
        <v>7222192339</v>
      </c>
      <c r="P10" s="20" t="s">
        <v>842</v>
      </c>
      <c r="Q10" s="21"/>
      <c r="R10" s="22"/>
      <c r="S10" s="22"/>
      <c r="T10" s="22"/>
      <c r="U10" s="22"/>
      <c r="V10" s="48">
        <v>44760</v>
      </c>
      <c r="W10" s="48">
        <v>44762</v>
      </c>
      <c r="X10" s="23">
        <v>13359203.869999999</v>
      </c>
      <c r="Y10" s="23">
        <f t="shared" si="4"/>
        <v>15496676.489199998</v>
      </c>
      <c r="Z10" s="23">
        <v>15496676.49</v>
      </c>
      <c r="AA10" s="204">
        <f t="shared" si="9"/>
        <v>3323.5099999997765</v>
      </c>
      <c r="AB10" s="204">
        <v>0</v>
      </c>
      <c r="AC10" s="204">
        <v>0</v>
      </c>
      <c r="AD10" s="23">
        <v>3564253.03</v>
      </c>
      <c r="AE10" s="204">
        <v>0</v>
      </c>
      <c r="AF10" s="50">
        <f t="shared" si="5"/>
        <v>3564253.03</v>
      </c>
      <c r="AG10" s="314">
        <v>44834</v>
      </c>
      <c r="AH10" s="204">
        <v>925232.54</v>
      </c>
      <c r="AI10" s="252">
        <v>0</v>
      </c>
      <c r="AJ10" s="204">
        <f t="shared" si="6"/>
        <v>925232.54</v>
      </c>
      <c r="AK10" s="314">
        <v>44847</v>
      </c>
      <c r="AL10" s="204">
        <v>1792817.72</v>
      </c>
      <c r="AM10" s="252">
        <v>0</v>
      </c>
      <c r="AN10" s="204">
        <f t="shared" si="7"/>
        <v>1792817.72</v>
      </c>
      <c r="AO10" s="314">
        <v>44902</v>
      </c>
      <c r="AP10" s="204">
        <v>874055.02</v>
      </c>
      <c r="AQ10" s="252">
        <v>0</v>
      </c>
      <c r="AR10" s="204">
        <f>AP10-AQ10</f>
        <v>874055.02</v>
      </c>
      <c r="AS10" s="251">
        <v>44902</v>
      </c>
      <c r="AT10" s="204">
        <v>221538.91</v>
      </c>
      <c r="AU10" s="204">
        <v>0</v>
      </c>
      <c r="AV10" s="204">
        <f>AT10-AU10</f>
        <v>221538.91</v>
      </c>
      <c r="AW10" s="251">
        <v>44994</v>
      </c>
      <c r="AX10" s="204">
        <v>497085.39</v>
      </c>
      <c r="AY10" s="204">
        <v>0</v>
      </c>
      <c r="AZ10" s="204">
        <f>AX10-AY10</f>
        <v>497085.39</v>
      </c>
      <c r="BA10" s="249"/>
      <c r="BB10" s="204">
        <v>126859.99</v>
      </c>
      <c r="BC10" s="204">
        <v>0</v>
      </c>
      <c r="BD10" s="204">
        <f>BB10-BC10</f>
        <v>126859.99</v>
      </c>
      <c r="BE10" s="249"/>
      <c r="BF10" s="204">
        <v>988400.48</v>
      </c>
      <c r="BG10" s="204">
        <v>0</v>
      </c>
      <c r="BH10" s="204">
        <f>BF10-BG10</f>
        <v>988400.48</v>
      </c>
      <c r="BI10" s="249"/>
      <c r="BJ10" s="204">
        <v>933496.18</v>
      </c>
      <c r="BK10" s="204">
        <v>0</v>
      </c>
      <c r="BL10" s="204">
        <f>BJ10-BK10</f>
        <v>933496.18</v>
      </c>
      <c r="BM10" s="249"/>
      <c r="BN10" s="204">
        <v>772068.04</v>
      </c>
      <c r="BO10" s="204"/>
      <c r="BP10" s="204">
        <f>BN10-BO10</f>
        <v>772068.04</v>
      </c>
      <c r="BQ10" s="204"/>
      <c r="BR10" s="204">
        <v>863822.56</v>
      </c>
      <c r="BS10" s="204">
        <v>0</v>
      </c>
      <c r="BT10" s="204">
        <f>BR10-BS10</f>
        <v>863822.56</v>
      </c>
      <c r="BU10" s="204"/>
      <c r="BV10" s="204">
        <v>1228898.6100000001</v>
      </c>
      <c r="BW10" s="204">
        <v>0</v>
      </c>
      <c r="BX10" s="204">
        <f>BV10-BW10</f>
        <v>1228898.6100000001</v>
      </c>
      <c r="BY10" s="204"/>
      <c r="BZ10" s="204"/>
      <c r="CA10" s="204"/>
      <c r="CB10" s="204"/>
      <c r="CC10" s="204"/>
      <c r="CD10" s="204"/>
      <c r="CE10" s="204"/>
      <c r="CF10" s="204"/>
      <c r="CG10" s="204"/>
      <c r="CH10" s="204"/>
      <c r="CI10" s="204"/>
      <c r="CJ10" s="204"/>
      <c r="CK10" s="204"/>
      <c r="CL10" s="204"/>
      <c r="CM10" s="204"/>
      <c r="CN10" s="204"/>
      <c r="CO10" s="204"/>
      <c r="CP10" s="204"/>
      <c r="CQ10" s="204"/>
      <c r="CR10" s="204"/>
      <c r="CS10" s="204"/>
      <c r="CT10" s="204"/>
      <c r="CU10" s="204"/>
      <c r="CV10" s="204"/>
      <c r="CW10" s="204"/>
      <c r="CX10" s="204"/>
      <c r="CY10" s="204"/>
      <c r="CZ10" s="204"/>
      <c r="DA10" s="204"/>
      <c r="DB10" s="204"/>
      <c r="DC10" s="204"/>
      <c r="DD10" s="204"/>
      <c r="DE10" s="204"/>
      <c r="DF10" s="204"/>
      <c r="DG10" s="204"/>
      <c r="DH10" s="204"/>
      <c r="DI10" s="204"/>
      <c r="DJ10" s="204"/>
      <c r="DK10" s="204"/>
      <c r="DL10" s="204"/>
      <c r="DM10" s="204"/>
      <c r="DN10" s="204"/>
      <c r="DO10" s="204"/>
      <c r="DP10" s="204"/>
      <c r="DQ10" s="204"/>
      <c r="DR10" s="204"/>
      <c r="DS10" s="204"/>
      <c r="DT10" s="204"/>
      <c r="DU10" s="204"/>
      <c r="DV10" s="204"/>
      <c r="DW10" s="204"/>
      <c r="DX10" s="204"/>
      <c r="DY10" s="204"/>
      <c r="DZ10" s="204"/>
      <c r="EA10" s="204"/>
      <c r="EB10" s="204"/>
      <c r="EC10" s="204"/>
      <c r="ED10" s="204"/>
      <c r="EE10" s="204"/>
      <c r="EF10" s="204"/>
      <c r="EG10" s="204"/>
      <c r="EH10" s="250">
        <f t="shared" si="8"/>
        <v>12788528.470000001</v>
      </c>
      <c r="EI10" s="250">
        <f t="shared" si="8"/>
        <v>0</v>
      </c>
      <c r="EJ10" s="250">
        <f t="shared" si="8"/>
        <v>12788528.470000001</v>
      </c>
      <c r="EK10" s="204">
        <f t="shared" si="10"/>
        <v>12788528.470000001</v>
      </c>
      <c r="EL10" s="204">
        <f t="shared" si="11"/>
        <v>0</v>
      </c>
      <c r="EM10" s="255">
        <f t="shared" si="12"/>
        <v>2708148.0199999996</v>
      </c>
      <c r="EN10" s="204">
        <f t="shared" si="13"/>
        <v>0</v>
      </c>
      <c r="EO10" s="204">
        <f t="shared" si="14"/>
        <v>2711471.5299999993</v>
      </c>
      <c r="EP10" s="204"/>
      <c r="EQ10" s="55">
        <v>44763</v>
      </c>
      <c r="ER10" s="55">
        <v>44910</v>
      </c>
      <c r="ES10" s="18"/>
      <c r="ET10" s="54" t="s">
        <v>1341</v>
      </c>
      <c r="EU10" s="47" t="s">
        <v>1342</v>
      </c>
      <c r="EV10" s="18"/>
      <c r="EW10" s="18"/>
      <c r="EX10" s="18"/>
      <c r="EY10" s="331">
        <f t="shared" si="15"/>
        <v>0.82524330157194892</v>
      </c>
      <c r="EZ10" s="349">
        <v>1</v>
      </c>
      <c r="FA10" s="336"/>
      <c r="FB10" s="336">
        <f t="shared" si="16"/>
        <v>-1</v>
      </c>
      <c r="FC10" s="337">
        <f>(AC10+EH10-EI10)/Z10</f>
        <v>0.82524330157194892</v>
      </c>
      <c r="FD10" s="338" t="s">
        <v>147</v>
      </c>
      <c r="FE10" s="47" t="s">
        <v>137</v>
      </c>
      <c r="FF10" s="47"/>
      <c r="FG10" s="47" t="s">
        <v>890</v>
      </c>
      <c r="FH10" s="47" t="s">
        <v>148</v>
      </c>
      <c r="FI10" s="25">
        <v>10960</v>
      </c>
      <c r="FJ10" s="393" t="s">
        <v>1382</v>
      </c>
      <c r="HT10" s="14" t="s">
        <v>128</v>
      </c>
    </row>
    <row r="11" spans="1:228" ht="135.75" hidden="1" customHeight="1">
      <c r="A11" s="15">
        <f>A10+1</f>
        <v>3</v>
      </c>
      <c r="B11" s="5" t="s">
        <v>143</v>
      </c>
      <c r="C11" s="16"/>
      <c r="D11" s="125" t="s">
        <v>982</v>
      </c>
      <c r="E11" s="125"/>
      <c r="F11" s="47">
        <v>121305</v>
      </c>
      <c r="G11" s="18" t="s">
        <v>142</v>
      </c>
      <c r="H11" s="19">
        <f>14300000-14300000</f>
        <v>0</v>
      </c>
      <c r="I11" s="19">
        <f>14300000-14300000</f>
        <v>0</v>
      </c>
      <c r="J11" s="18" t="s">
        <v>230</v>
      </c>
      <c r="K11" s="18"/>
      <c r="L11" s="18"/>
      <c r="M11" s="47"/>
      <c r="N11" s="18"/>
      <c r="O11" s="47"/>
      <c r="P11" s="20"/>
      <c r="Q11" s="21"/>
      <c r="R11" s="22"/>
      <c r="S11" s="22"/>
      <c r="T11" s="22"/>
      <c r="U11" s="22"/>
      <c r="V11" s="48"/>
      <c r="W11" s="48"/>
      <c r="X11" s="23"/>
      <c r="Y11" s="23">
        <f t="shared" si="4"/>
        <v>0</v>
      </c>
      <c r="Z11" s="23"/>
      <c r="AA11" s="204">
        <f t="shared" si="9"/>
        <v>0</v>
      </c>
      <c r="AB11" s="204"/>
      <c r="AC11" s="204"/>
      <c r="AD11" s="204"/>
      <c r="AE11" s="204"/>
      <c r="AF11" s="50">
        <f t="shared" si="5"/>
        <v>0</v>
      </c>
      <c r="AG11" s="253"/>
      <c r="AH11" s="204"/>
      <c r="AI11" s="204"/>
      <c r="AJ11" s="204">
        <f t="shared" si="6"/>
        <v>0</v>
      </c>
      <c r="AK11" s="251"/>
      <c r="AL11" s="50"/>
      <c r="AM11" s="254"/>
      <c r="AN11" s="204">
        <f t="shared" si="7"/>
        <v>0</v>
      </c>
      <c r="AO11" s="251"/>
      <c r="AP11" s="204"/>
      <c r="AQ11" s="204"/>
      <c r="AR11" s="204"/>
      <c r="AS11" s="251"/>
      <c r="AT11" s="204"/>
      <c r="AU11" s="204"/>
      <c r="AV11" s="204"/>
      <c r="AW11" s="249"/>
      <c r="AX11" s="204"/>
      <c r="AY11" s="204"/>
      <c r="AZ11" s="204"/>
      <c r="BA11" s="204"/>
      <c r="BB11" s="204"/>
      <c r="BC11" s="204"/>
      <c r="BD11" s="204"/>
      <c r="BE11" s="204"/>
      <c r="BF11" s="204"/>
      <c r="BG11" s="204"/>
      <c r="BH11" s="204"/>
      <c r="BI11" s="204"/>
      <c r="BJ11" s="204"/>
      <c r="BK11" s="204"/>
      <c r="BL11" s="204"/>
      <c r="BM11" s="204"/>
      <c r="BN11" s="204"/>
      <c r="BO11" s="204"/>
      <c r="BP11" s="204"/>
      <c r="BQ11" s="204"/>
      <c r="BR11" s="204"/>
      <c r="BS11" s="204"/>
      <c r="BT11" s="204"/>
      <c r="BU11" s="204"/>
      <c r="BV11" s="204"/>
      <c r="BW11" s="204"/>
      <c r="BX11" s="204"/>
      <c r="BY11" s="204"/>
      <c r="BZ11" s="204"/>
      <c r="CA11" s="204"/>
      <c r="CB11" s="204"/>
      <c r="CC11" s="204"/>
      <c r="CD11" s="204"/>
      <c r="CE11" s="204"/>
      <c r="CF11" s="204"/>
      <c r="CG11" s="204"/>
      <c r="CH11" s="204"/>
      <c r="CI11" s="204"/>
      <c r="CJ11" s="204"/>
      <c r="CK11" s="204"/>
      <c r="CL11" s="204"/>
      <c r="CM11" s="204"/>
      <c r="CN11" s="204"/>
      <c r="CO11" s="204"/>
      <c r="CP11" s="204"/>
      <c r="CQ11" s="204"/>
      <c r="CR11" s="204"/>
      <c r="CS11" s="204"/>
      <c r="CT11" s="204"/>
      <c r="CU11" s="204"/>
      <c r="CV11" s="204"/>
      <c r="CW11" s="204"/>
      <c r="CX11" s="204"/>
      <c r="CY11" s="204"/>
      <c r="CZ11" s="204"/>
      <c r="DA11" s="204"/>
      <c r="DB11" s="204"/>
      <c r="DC11" s="204"/>
      <c r="DD11" s="204"/>
      <c r="DE11" s="204"/>
      <c r="DF11" s="204"/>
      <c r="DG11" s="204"/>
      <c r="DH11" s="204"/>
      <c r="DI11" s="204"/>
      <c r="DJ11" s="204"/>
      <c r="DK11" s="204"/>
      <c r="DL11" s="204"/>
      <c r="DM11" s="204"/>
      <c r="DN11" s="204"/>
      <c r="DO11" s="204"/>
      <c r="DP11" s="204"/>
      <c r="DQ11" s="204"/>
      <c r="DR11" s="204"/>
      <c r="DS11" s="204"/>
      <c r="DT11" s="204"/>
      <c r="DU11" s="204"/>
      <c r="DV11" s="204"/>
      <c r="DW11" s="204"/>
      <c r="DX11" s="204"/>
      <c r="DY11" s="204"/>
      <c r="DZ11" s="204"/>
      <c r="EA11" s="204"/>
      <c r="EB11" s="204"/>
      <c r="EC11" s="204"/>
      <c r="ED11" s="204"/>
      <c r="EE11" s="204"/>
      <c r="EF11" s="204"/>
      <c r="EG11" s="204"/>
      <c r="EH11" s="250">
        <f t="shared" si="8"/>
        <v>0</v>
      </c>
      <c r="EI11" s="250">
        <f t="shared" si="8"/>
        <v>0</v>
      </c>
      <c r="EJ11" s="250">
        <f t="shared" si="8"/>
        <v>0</v>
      </c>
      <c r="EK11" s="204">
        <f t="shared" si="10"/>
        <v>0</v>
      </c>
      <c r="EL11" s="204">
        <f t="shared" si="11"/>
        <v>0</v>
      </c>
      <c r="EM11" s="204">
        <f t="shared" si="12"/>
        <v>0</v>
      </c>
      <c r="EN11" s="204">
        <f t="shared" si="13"/>
        <v>0</v>
      </c>
      <c r="EO11" s="204">
        <f t="shared" si="14"/>
        <v>0</v>
      </c>
      <c r="EP11" s="204"/>
      <c r="EQ11" s="55"/>
      <c r="ER11" s="55"/>
      <c r="ES11" s="18"/>
      <c r="ET11" s="18"/>
      <c r="EU11" s="18"/>
      <c r="EV11" s="18"/>
      <c r="EW11" s="18"/>
      <c r="EX11" s="18"/>
      <c r="EY11" s="331">
        <v>0</v>
      </c>
      <c r="EZ11" s="332">
        <v>0</v>
      </c>
      <c r="FA11" s="336"/>
      <c r="FB11" s="336">
        <f t="shared" si="16"/>
        <v>0</v>
      </c>
      <c r="FC11" s="337">
        <v>0</v>
      </c>
      <c r="FD11" s="338" t="s">
        <v>72</v>
      </c>
      <c r="FE11" s="47" t="s">
        <v>137</v>
      </c>
      <c r="FF11" s="47"/>
      <c r="FG11" s="47" t="s">
        <v>138</v>
      </c>
      <c r="FH11" s="47" t="s">
        <v>148</v>
      </c>
      <c r="FI11" s="25"/>
      <c r="FJ11" s="47"/>
    </row>
    <row r="12" spans="1:228" ht="175.5" hidden="1" customHeight="1">
      <c r="A12" s="207">
        <v>2</v>
      </c>
      <c r="B12" s="292" t="s">
        <v>899</v>
      </c>
      <c r="C12" s="292" t="s">
        <v>899</v>
      </c>
      <c r="D12" s="298"/>
      <c r="E12" s="298"/>
      <c r="F12" s="20">
        <v>121356</v>
      </c>
      <c r="G12" s="70" t="s">
        <v>900</v>
      </c>
      <c r="H12" s="272">
        <v>94000000</v>
      </c>
      <c r="I12" s="272">
        <v>94000000</v>
      </c>
      <c r="J12" s="70" t="s">
        <v>230</v>
      </c>
      <c r="K12" s="70" t="s">
        <v>901</v>
      </c>
      <c r="L12" s="271" t="s">
        <v>902</v>
      </c>
      <c r="M12" s="291" t="s">
        <v>903</v>
      </c>
      <c r="N12" s="271" t="s">
        <v>904</v>
      </c>
      <c r="O12" s="291">
        <v>7181271295</v>
      </c>
      <c r="P12" s="20" t="s">
        <v>1391</v>
      </c>
      <c r="Q12" s="356"/>
      <c r="R12" s="357"/>
      <c r="S12" s="357"/>
      <c r="T12" s="357"/>
      <c r="U12" s="357"/>
      <c r="V12" s="358">
        <v>44776</v>
      </c>
      <c r="W12" s="358">
        <v>44778</v>
      </c>
      <c r="X12" s="359">
        <v>80994172.75</v>
      </c>
      <c r="Y12" s="303">
        <f>X12*1.16</f>
        <v>93953240.390000001</v>
      </c>
      <c r="Z12" s="303">
        <v>93953240.390000001</v>
      </c>
      <c r="AA12" s="204">
        <f t="shared" si="9"/>
        <v>46759.609999999404</v>
      </c>
      <c r="AB12" s="360">
        <v>0</v>
      </c>
      <c r="AC12" s="360">
        <v>0</v>
      </c>
      <c r="AD12" s="360">
        <v>55443956.299999997</v>
      </c>
      <c r="AE12" s="360">
        <v>0</v>
      </c>
      <c r="AF12" s="361">
        <f t="shared" si="5"/>
        <v>55443956.299999997</v>
      </c>
      <c r="AG12" s="362">
        <v>44880</v>
      </c>
      <c r="AH12" s="360">
        <v>48220.49</v>
      </c>
      <c r="AI12" s="360">
        <v>0</v>
      </c>
      <c r="AJ12" s="360">
        <f t="shared" si="6"/>
        <v>48220.49</v>
      </c>
      <c r="AK12" s="363"/>
      <c r="AL12" s="361"/>
      <c r="AM12" s="364"/>
      <c r="AN12" s="360">
        <f t="shared" si="7"/>
        <v>0</v>
      </c>
      <c r="AO12" s="363"/>
      <c r="AP12" s="360"/>
      <c r="AQ12" s="360"/>
      <c r="AR12" s="360"/>
      <c r="AS12" s="363"/>
      <c r="AT12" s="360"/>
      <c r="AU12" s="360"/>
      <c r="AV12" s="360"/>
      <c r="AW12" s="365"/>
      <c r="AX12" s="360"/>
      <c r="AY12" s="360"/>
      <c r="AZ12" s="360"/>
      <c r="BA12" s="360"/>
      <c r="BB12" s="360"/>
      <c r="BC12" s="360"/>
      <c r="BD12" s="360"/>
      <c r="BE12" s="360"/>
      <c r="BF12" s="360"/>
      <c r="BG12" s="360"/>
      <c r="BH12" s="360"/>
      <c r="BI12" s="360"/>
      <c r="BJ12" s="360"/>
      <c r="BK12" s="360"/>
      <c r="BL12" s="360"/>
      <c r="BM12" s="360"/>
      <c r="BN12" s="360"/>
      <c r="BO12" s="360"/>
      <c r="BP12" s="360"/>
      <c r="BQ12" s="360"/>
      <c r="BR12" s="360"/>
      <c r="BS12" s="360"/>
      <c r="BT12" s="360"/>
      <c r="BU12" s="360"/>
      <c r="BV12" s="360"/>
      <c r="BW12" s="360"/>
      <c r="BX12" s="360"/>
      <c r="BY12" s="360"/>
      <c r="BZ12" s="360"/>
      <c r="CA12" s="360"/>
      <c r="CB12" s="360"/>
      <c r="CC12" s="360"/>
      <c r="CD12" s="360"/>
      <c r="CE12" s="360"/>
      <c r="CF12" s="360"/>
      <c r="CG12" s="360"/>
      <c r="CH12" s="360"/>
      <c r="CI12" s="360"/>
      <c r="CJ12" s="360"/>
      <c r="CK12" s="360"/>
      <c r="CL12" s="360"/>
      <c r="CM12" s="360"/>
      <c r="CN12" s="360"/>
      <c r="CO12" s="360"/>
      <c r="CP12" s="360"/>
      <c r="CQ12" s="360"/>
      <c r="CR12" s="360"/>
      <c r="CS12" s="360"/>
      <c r="CT12" s="360"/>
      <c r="CU12" s="360"/>
      <c r="CV12" s="360"/>
      <c r="CW12" s="360"/>
      <c r="CX12" s="360"/>
      <c r="CY12" s="360"/>
      <c r="CZ12" s="360"/>
      <c r="DA12" s="360"/>
      <c r="DB12" s="360"/>
      <c r="DC12" s="360"/>
      <c r="DD12" s="360"/>
      <c r="DE12" s="360"/>
      <c r="DF12" s="360"/>
      <c r="DG12" s="360"/>
      <c r="DH12" s="360"/>
      <c r="DI12" s="360"/>
      <c r="DJ12" s="360"/>
      <c r="DK12" s="360"/>
      <c r="DL12" s="360"/>
      <c r="DM12" s="360"/>
      <c r="DN12" s="360"/>
      <c r="DO12" s="360"/>
      <c r="DP12" s="360"/>
      <c r="DQ12" s="360"/>
      <c r="DR12" s="360"/>
      <c r="DS12" s="360"/>
      <c r="DT12" s="360"/>
      <c r="DU12" s="360"/>
      <c r="DV12" s="360"/>
      <c r="DW12" s="360"/>
      <c r="DX12" s="360"/>
      <c r="DY12" s="360"/>
      <c r="DZ12" s="360"/>
      <c r="EA12" s="360"/>
      <c r="EB12" s="360"/>
      <c r="EC12" s="360"/>
      <c r="ED12" s="360"/>
      <c r="EE12" s="360"/>
      <c r="EF12" s="360"/>
      <c r="EG12" s="360"/>
      <c r="EH12" s="323">
        <f t="shared" si="8"/>
        <v>55492176.789999999</v>
      </c>
      <c r="EI12" s="323">
        <f t="shared" si="8"/>
        <v>0</v>
      </c>
      <c r="EJ12" s="323">
        <f t="shared" si="8"/>
        <v>55492176.789999999</v>
      </c>
      <c r="EK12" s="360">
        <f t="shared" si="10"/>
        <v>55492176.789999999</v>
      </c>
      <c r="EL12" s="360">
        <f t="shared" si="11"/>
        <v>0</v>
      </c>
      <c r="EM12" s="360">
        <f t="shared" si="12"/>
        <v>38461063.600000001</v>
      </c>
      <c r="EN12" s="360">
        <f t="shared" si="13"/>
        <v>0</v>
      </c>
      <c r="EO12" s="360">
        <f>+AA12+EM12</f>
        <v>38507823.210000001</v>
      </c>
      <c r="EP12" s="360"/>
      <c r="EQ12" s="366">
        <v>44781</v>
      </c>
      <c r="ER12" s="434">
        <v>45164</v>
      </c>
      <c r="ES12" s="271"/>
      <c r="ET12" s="271"/>
      <c r="EU12" s="291" t="s">
        <v>1405</v>
      </c>
      <c r="EV12" s="271"/>
      <c r="EW12" s="271"/>
      <c r="EX12" s="271"/>
      <c r="EY12" s="345">
        <f t="shared" si="15"/>
        <v>0.59063611387592285</v>
      </c>
      <c r="EZ12" s="408">
        <v>0.45</v>
      </c>
      <c r="FA12" s="367"/>
      <c r="FB12" s="367"/>
      <c r="FC12" s="369">
        <f>(AC12+EH12-EI12)/Z12</f>
        <v>0.59063611387592285</v>
      </c>
      <c r="FD12" s="344" t="s">
        <v>149</v>
      </c>
      <c r="FE12" s="20" t="s">
        <v>1043</v>
      </c>
      <c r="FF12" s="291"/>
      <c r="FG12" s="20" t="s">
        <v>162</v>
      </c>
      <c r="FH12" s="20" t="s">
        <v>169</v>
      </c>
      <c r="FI12" s="74">
        <v>3000000</v>
      </c>
      <c r="FJ12" s="394" t="s">
        <v>1406</v>
      </c>
    </row>
    <row r="13" spans="1:228" ht="244.5" hidden="1" customHeight="1">
      <c r="A13" s="207">
        <v>3</v>
      </c>
      <c r="B13" s="294" t="s">
        <v>1197</v>
      </c>
      <c r="C13" s="294"/>
      <c r="D13" s="53"/>
      <c r="E13" s="53"/>
      <c r="F13" s="20">
        <v>122289</v>
      </c>
      <c r="G13" s="70" t="s">
        <v>1198</v>
      </c>
      <c r="H13" s="282"/>
      <c r="I13" s="282"/>
      <c r="J13" s="70" t="s">
        <v>230</v>
      </c>
      <c r="K13" s="70" t="s">
        <v>996</v>
      </c>
      <c r="L13" s="70" t="s">
        <v>1008</v>
      </c>
      <c r="M13" s="20" t="s">
        <v>1009</v>
      </c>
      <c r="N13" s="70" t="s">
        <v>1010</v>
      </c>
      <c r="O13" s="20">
        <v>7222805321</v>
      </c>
      <c r="P13" s="20" t="s">
        <v>1035</v>
      </c>
      <c r="Q13" s="71"/>
      <c r="R13" s="72"/>
      <c r="S13" s="72"/>
      <c r="T13" s="72"/>
      <c r="U13" s="72"/>
      <c r="V13" s="73">
        <v>44832</v>
      </c>
      <c r="W13" s="73">
        <v>44834</v>
      </c>
      <c r="X13" s="303">
        <f>68811905.67+3189655.13</f>
        <v>72001560.799999997</v>
      </c>
      <c r="Y13" s="303">
        <f>X13*1.16</f>
        <v>83521810.527999997</v>
      </c>
      <c r="Z13" s="303">
        <v>83521810.530000001</v>
      </c>
      <c r="AA13" s="204">
        <f t="shared" si="9"/>
        <v>-83521810.530000001</v>
      </c>
      <c r="AB13" s="250">
        <v>0</v>
      </c>
      <c r="AC13" s="250">
        <v>0</v>
      </c>
      <c r="AD13" s="250">
        <v>24523161.890000001</v>
      </c>
      <c r="AE13" s="250">
        <v>0</v>
      </c>
      <c r="AF13" s="308">
        <v>24523161.890000001</v>
      </c>
      <c r="AG13" s="314">
        <v>44914</v>
      </c>
      <c r="AH13" s="308">
        <v>746515.96</v>
      </c>
      <c r="AI13" s="250">
        <v>0</v>
      </c>
      <c r="AJ13" s="250">
        <f>AH13-AI13</f>
        <v>746515.96</v>
      </c>
      <c r="AK13" s="314">
        <v>44959</v>
      </c>
      <c r="AL13" s="250">
        <v>3038659.59</v>
      </c>
      <c r="AM13" s="368">
        <v>0</v>
      </c>
      <c r="AN13" s="250">
        <f>AL13-AM13</f>
        <v>3038659.59</v>
      </c>
      <c r="AO13" s="251">
        <v>44995</v>
      </c>
      <c r="AP13" s="250">
        <v>7684017.7199999997</v>
      </c>
      <c r="AQ13" s="250">
        <v>0</v>
      </c>
      <c r="AR13" s="250">
        <f>AP13-AQ13</f>
        <v>7684017.7199999997</v>
      </c>
      <c r="AS13" s="251">
        <v>45008</v>
      </c>
      <c r="AT13" s="250">
        <v>4342071.34</v>
      </c>
      <c r="AU13" s="250">
        <v>0</v>
      </c>
      <c r="AV13" s="250">
        <f>AT13-AU13</f>
        <v>4342071.34</v>
      </c>
      <c r="AW13" s="309">
        <v>45029</v>
      </c>
      <c r="AX13" s="303">
        <v>12317286.74</v>
      </c>
      <c r="AY13" s="250">
        <v>0</v>
      </c>
      <c r="AZ13" s="250">
        <f>AX13-AY13</f>
        <v>12317286.74</v>
      </c>
      <c r="BA13" s="309">
        <v>45083</v>
      </c>
      <c r="BB13" s="250">
        <v>16157128.439999999</v>
      </c>
      <c r="BC13" s="250">
        <v>0</v>
      </c>
      <c r="BD13" s="250">
        <f>BB13-BC13</f>
        <v>16157128.439999999</v>
      </c>
      <c r="BE13" s="309">
        <v>45128</v>
      </c>
      <c r="BF13" s="250">
        <v>7113889.6600000001</v>
      </c>
      <c r="BG13" s="250">
        <v>0</v>
      </c>
      <c r="BH13" s="250">
        <f>BF13-BG13</f>
        <v>7113889.6600000001</v>
      </c>
      <c r="BI13" s="250"/>
      <c r="BJ13" s="250">
        <v>4192361.12</v>
      </c>
      <c r="BK13" s="250">
        <v>0</v>
      </c>
      <c r="BL13" s="250">
        <f>BJ13-BK13</f>
        <v>4192361.12</v>
      </c>
      <c r="BM13" s="250"/>
      <c r="BN13" s="250">
        <v>3699997.89</v>
      </c>
      <c r="BO13" s="250">
        <v>0</v>
      </c>
      <c r="BP13" s="250">
        <f>BN13-BO13</f>
        <v>3699997.89</v>
      </c>
      <c r="BQ13" s="250" t="s">
        <v>1347</v>
      </c>
      <c r="BR13" s="250"/>
      <c r="BS13" s="250"/>
      <c r="BT13" s="250"/>
      <c r="BU13" s="250"/>
      <c r="BV13" s="250"/>
      <c r="BW13" s="250"/>
      <c r="BX13" s="250"/>
      <c r="BY13" s="250"/>
      <c r="BZ13" s="250"/>
      <c r="CA13" s="250"/>
      <c r="CB13" s="250"/>
      <c r="CC13" s="250"/>
      <c r="CD13" s="250"/>
      <c r="CE13" s="250"/>
      <c r="CF13" s="250"/>
      <c r="CG13" s="250"/>
      <c r="CH13" s="250"/>
      <c r="CI13" s="250"/>
      <c r="CJ13" s="250"/>
      <c r="CK13" s="250"/>
      <c r="CL13" s="250"/>
      <c r="CM13" s="250"/>
      <c r="CN13" s="250"/>
      <c r="CO13" s="250"/>
      <c r="CP13" s="250"/>
      <c r="CQ13" s="250"/>
      <c r="CR13" s="250"/>
      <c r="CS13" s="250"/>
      <c r="CT13" s="250"/>
      <c r="CU13" s="250"/>
      <c r="CV13" s="250"/>
      <c r="CW13" s="250"/>
      <c r="CX13" s="250"/>
      <c r="CY13" s="250"/>
      <c r="CZ13" s="250"/>
      <c r="DA13" s="250"/>
      <c r="DB13" s="250"/>
      <c r="DC13" s="250"/>
      <c r="DD13" s="250"/>
      <c r="DE13" s="250"/>
      <c r="DF13" s="250"/>
      <c r="DG13" s="250"/>
      <c r="DH13" s="250"/>
      <c r="DI13" s="250"/>
      <c r="DJ13" s="250"/>
      <c r="DK13" s="250"/>
      <c r="DL13" s="250"/>
      <c r="DM13" s="250"/>
      <c r="DN13" s="250"/>
      <c r="DO13" s="250"/>
      <c r="DP13" s="250"/>
      <c r="DQ13" s="250"/>
      <c r="DR13" s="250"/>
      <c r="DS13" s="250"/>
      <c r="DT13" s="250"/>
      <c r="DU13" s="250"/>
      <c r="DV13" s="250"/>
      <c r="DW13" s="250"/>
      <c r="DX13" s="250"/>
      <c r="DY13" s="250"/>
      <c r="DZ13" s="250"/>
      <c r="EA13" s="250"/>
      <c r="EB13" s="250"/>
      <c r="EC13" s="250"/>
      <c r="ED13" s="250"/>
      <c r="EE13" s="250"/>
      <c r="EF13" s="250"/>
      <c r="EG13" s="250"/>
      <c r="EH13" s="323">
        <f t="shared" si="8"/>
        <v>83815090.350000009</v>
      </c>
      <c r="EI13" s="250">
        <v>0</v>
      </c>
      <c r="EJ13" s="250">
        <v>25245000.48</v>
      </c>
      <c r="EK13" s="250">
        <v>25245000.48</v>
      </c>
      <c r="EL13" s="250">
        <v>0</v>
      </c>
      <c r="EM13" s="250">
        <f t="shared" si="12"/>
        <v>-293279.82000000775</v>
      </c>
      <c r="EN13" s="250">
        <v>0</v>
      </c>
      <c r="EO13" s="250">
        <f>+AA13+EM13</f>
        <v>-83815090.350000009</v>
      </c>
      <c r="EP13" s="250"/>
      <c r="EQ13" s="310">
        <v>44835</v>
      </c>
      <c r="ER13" s="433">
        <v>45166</v>
      </c>
      <c r="ES13" s="430">
        <v>3699999.95</v>
      </c>
      <c r="ET13" s="20" t="s">
        <v>1407</v>
      </c>
      <c r="EU13" s="20"/>
      <c r="EV13" s="70"/>
      <c r="EW13" s="70"/>
      <c r="EX13" s="70"/>
      <c r="EY13" s="345">
        <f t="shared" si="15"/>
        <v>1.0035114159779219</v>
      </c>
      <c r="EZ13" s="408">
        <v>0.98</v>
      </c>
      <c r="FA13" s="346"/>
      <c r="FB13" s="346"/>
      <c r="FC13" s="369">
        <f>(AC13+EH13-EI13)/Z13</f>
        <v>1.0035114159779219</v>
      </c>
      <c r="FD13" s="344" t="s">
        <v>149</v>
      </c>
      <c r="FE13" s="20" t="s">
        <v>1036</v>
      </c>
      <c r="FF13" s="20"/>
      <c r="FG13" s="20" t="s">
        <v>161</v>
      </c>
      <c r="FH13" s="20" t="s">
        <v>169</v>
      </c>
      <c r="FI13" s="74">
        <v>233936</v>
      </c>
      <c r="FJ13" s="395" t="s">
        <v>1409</v>
      </c>
      <c r="FK13" s="431"/>
    </row>
    <row r="14" spans="1:228" ht="195.75" hidden="1" customHeight="1">
      <c r="A14" s="207">
        <v>7</v>
      </c>
      <c r="B14" s="294" t="s">
        <v>833</v>
      </c>
      <c r="C14" s="5" t="s">
        <v>833</v>
      </c>
      <c r="D14" s="53"/>
      <c r="E14" s="53"/>
      <c r="F14" s="290">
        <v>121830</v>
      </c>
      <c r="G14" s="370" t="s">
        <v>1199</v>
      </c>
      <c r="H14" s="282"/>
      <c r="I14" s="282"/>
      <c r="J14" s="70" t="s">
        <v>230</v>
      </c>
      <c r="K14" s="70" t="s">
        <v>943</v>
      </c>
      <c r="L14" s="70" t="s">
        <v>944</v>
      </c>
      <c r="M14" s="20" t="s">
        <v>945</v>
      </c>
      <c r="N14" s="70" t="s">
        <v>946</v>
      </c>
      <c r="O14" s="20">
        <v>5563949817</v>
      </c>
      <c r="P14" s="20" t="s">
        <v>1062</v>
      </c>
      <c r="Q14" s="71"/>
      <c r="R14" s="72"/>
      <c r="S14" s="72"/>
      <c r="T14" s="72"/>
      <c r="U14" s="72"/>
      <c r="V14" s="73"/>
      <c r="W14" s="73">
        <v>44818</v>
      </c>
      <c r="X14" s="303">
        <f>2153685.91+492423.28+802166.67</f>
        <v>3448275.8600000003</v>
      </c>
      <c r="Y14" s="303">
        <f>X14*1.16</f>
        <v>3999999.9975999999</v>
      </c>
      <c r="Z14" s="303">
        <v>4000000</v>
      </c>
      <c r="AA14" s="204">
        <f t="shared" si="9"/>
        <v>-4000000</v>
      </c>
      <c r="AB14" s="250">
        <v>0</v>
      </c>
      <c r="AC14" s="250">
        <v>0</v>
      </c>
      <c r="AD14" s="250">
        <v>338571.2</v>
      </c>
      <c r="AE14" s="250">
        <v>0</v>
      </c>
      <c r="AF14" s="308">
        <v>338571.2</v>
      </c>
      <c r="AG14" s="314">
        <v>44900</v>
      </c>
      <c r="AH14" s="250">
        <v>244883.38</v>
      </c>
      <c r="AI14" s="250">
        <v>0</v>
      </c>
      <c r="AJ14" s="250">
        <v>244883.38</v>
      </c>
      <c r="AK14" s="251">
        <v>44914</v>
      </c>
      <c r="AL14" s="308">
        <v>244883.38</v>
      </c>
      <c r="AM14" s="368">
        <v>0</v>
      </c>
      <c r="AN14" s="250">
        <v>244883.38</v>
      </c>
      <c r="AO14" s="251">
        <v>44936</v>
      </c>
      <c r="AP14" s="308">
        <v>244883.38</v>
      </c>
      <c r="AQ14" s="308">
        <v>0</v>
      </c>
      <c r="AR14" s="308">
        <f>AP14-AQ14</f>
        <v>244883.38</v>
      </c>
      <c r="AS14" s="251">
        <v>44967</v>
      </c>
      <c r="AT14" s="250">
        <v>357526.2</v>
      </c>
      <c r="AU14" s="250">
        <v>0</v>
      </c>
      <c r="AV14" s="250">
        <f>AT14-AU14</f>
        <v>357526.2</v>
      </c>
      <c r="AW14" s="251">
        <v>45029</v>
      </c>
      <c r="AX14" s="250">
        <v>267443.5</v>
      </c>
      <c r="AY14" s="250">
        <v>0</v>
      </c>
      <c r="AZ14" s="250">
        <f>AX14-AY14</f>
        <v>267443.5</v>
      </c>
      <c r="BA14" s="251">
        <v>45029</v>
      </c>
      <c r="BB14" s="250">
        <v>177566.16</v>
      </c>
      <c r="BC14" s="250">
        <v>0</v>
      </c>
      <c r="BD14" s="250">
        <f>BB14-BC14</f>
        <v>177566.16</v>
      </c>
      <c r="BE14" s="250"/>
      <c r="BF14" s="250">
        <v>160954.82999999999</v>
      </c>
      <c r="BG14" s="250">
        <v>0</v>
      </c>
      <c r="BH14" s="250">
        <f>BF14-BG14</f>
        <v>160954.82999999999</v>
      </c>
      <c r="BI14" s="250"/>
      <c r="BJ14" s="250">
        <v>326327.63</v>
      </c>
      <c r="BK14" s="250">
        <v>0</v>
      </c>
      <c r="BL14" s="250">
        <f>BJ14-BK14</f>
        <v>326327.63</v>
      </c>
      <c r="BM14" s="250"/>
      <c r="BN14" s="250">
        <v>135070.98000000001</v>
      </c>
      <c r="BO14" s="250">
        <v>0</v>
      </c>
      <c r="BP14" s="250">
        <f>BN14-BO14</f>
        <v>135070.98000000001</v>
      </c>
      <c r="BQ14" s="250" t="s">
        <v>305</v>
      </c>
      <c r="BR14" s="250">
        <v>109812.41</v>
      </c>
      <c r="BS14" s="250">
        <v>0</v>
      </c>
      <c r="BT14" s="250">
        <f>BR14-BS14</f>
        <v>109812.41</v>
      </c>
      <c r="BU14" s="250" t="s">
        <v>1346</v>
      </c>
      <c r="BV14" s="250">
        <v>312769.11</v>
      </c>
      <c r="BW14" s="250">
        <v>0</v>
      </c>
      <c r="BX14" s="250">
        <f>BV14-BW14</f>
        <v>312769.11</v>
      </c>
      <c r="BY14" s="250" t="s">
        <v>1395</v>
      </c>
      <c r="BZ14" s="250">
        <v>83928.58</v>
      </c>
      <c r="CA14" s="250">
        <v>0</v>
      </c>
      <c r="CB14" s="250">
        <f>BZ14-CA14</f>
        <v>83928.58</v>
      </c>
      <c r="CC14" s="250" t="s">
        <v>1396</v>
      </c>
      <c r="CD14" s="250">
        <v>64467.77</v>
      </c>
      <c r="CE14" s="250">
        <v>0</v>
      </c>
      <c r="CF14" s="250">
        <f>CD14-CE14</f>
        <v>64467.77</v>
      </c>
      <c r="CG14" s="250" t="s">
        <v>1397</v>
      </c>
      <c r="CH14" s="250">
        <v>930513.34</v>
      </c>
      <c r="CI14" s="250">
        <v>0</v>
      </c>
      <c r="CJ14" s="250">
        <f>CH14-CI14</f>
        <v>930513.34</v>
      </c>
      <c r="CK14" s="250" t="s">
        <v>1398</v>
      </c>
      <c r="CL14" s="250">
        <v>83928.58</v>
      </c>
      <c r="CM14" s="250">
        <v>0</v>
      </c>
      <c r="CN14" s="250">
        <f>CL14-CM14</f>
        <v>83928.58</v>
      </c>
      <c r="CO14" s="250" t="s">
        <v>1344</v>
      </c>
      <c r="CP14" s="250">
        <v>64467.77</v>
      </c>
      <c r="CQ14" s="250">
        <v>0</v>
      </c>
      <c r="CR14" s="250">
        <f>CP14-CQ14</f>
        <v>64467.77</v>
      </c>
      <c r="CS14" s="250"/>
      <c r="CT14" s="250"/>
      <c r="CU14" s="250"/>
      <c r="CV14" s="250"/>
      <c r="CW14" s="250"/>
      <c r="CX14" s="250"/>
      <c r="CY14" s="250"/>
      <c r="CZ14" s="250"/>
      <c r="DA14" s="250"/>
      <c r="DB14" s="250"/>
      <c r="DC14" s="250"/>
      <c r="DD14" s="250"/>
      <c r="DE14" s="250"/>
      <c r="DF14" s="250"/>
      <c r="DG14" s="250"/>
      <c r="DH14" s="250"/>
      <c r="DI14" s="250"/>
      <c r="DJ14" s="250"/>
      <c r="DK14" s="250"/>
      <c r="DL14" s="250"/>
      <c r="DM14" s="250"/>
      <c r="DN14" s="250"/>
      <c r="DO14" s="250"/>
      <c r="DP14" s="250"/>
      <c r="DQ14" s="250"/>
      <c r="DR14" s="250"/>
      <c r="DS14" s="250"/>
      <c r="DT14" s="250"/>
      <c r="DU14" s="250"/>
      <c r="DV14" s="250"/>
      <c r="DW14" s="250"/>
      <c r="DX14" s="250"/>
      <c r="DY14" s="250"/>
      <c r="DZ14" s="250"/>
      <c r="EA14" s="250"/>
      <c r="EB14" s="250"/>
      <c r="EC14" s="250"/>
      <c r="ED14" s="250"/>
      <c r="EE14" s="250"/>
      <c r="EF14" s="250"/>
      <c r="EG14" s="250"/>
      <c r="EH14" s="323">
        <f t="shared" si="8"/>
        <v>4147998.2</v>
      </c>
      <c r="EI14" s="250">
        <v>0</v>
      </c>
      <c r="EJ14" s="250">
        <v>828337.96000000008</v>
      </c>
      <c r="EK14" s="250">
        <v>828337.96000000008</v>
      </c>
      <c r="EL14" s="250">
        <v>0</v>
      </c>
      <c r="EM14" s="377">
        <f t="shared" si="12"/>
        <v>-147998.20000000019</v>
      </c>
      <c r="EN14" s="250">
        <v>0</v>
      </c>
      <c r="EO14" s="250">
        <f t="shared" si="14"/>
        <v>-4147998.2</v>
      </c>
      <c r="EP14" s="250"/>
      <c r="EQ14" s="310">
        <v>44819</v>
      </c>
      <c r="ER14" s="310">
        <v>45031</v>
      </c>
      <c r="ES14" s="423">
        <v>571211</v>
      </c>
      <c r="ET14" s="20" t="s">
        <v>1388</v>
      </c>
      <c r="EU14" s="20"/>
      <c r="EV14" s="70"/>
      <c r="EW14" s="70"/>
      <c r="EX14" s="70"/>
      <c r="EY14" s="345">
        <f t="shared" si="15"/>
        <v>1.03699955</v>
      </c>
      <c r="EZ14" s="408">
        <v>1</v>
      </c>
      <c r="FA14" s="346"/>
      <c r="FB14" s="346"/>
      <c r="FC14" s="369">
        <f>(AC14+EH14-EI14)/Z14</f>
        <v>1.03699955</v>
      </c>
      <c r="FD14" s="344" t="s">
        <v>147</v>
      </c>
      <c r="FE14" s="20" t="s">
        <v>1036</v>
      </c>
      <c r="FF14" s="20"/>
      <c r="FG14" s="20" t="s">
        <v>161</v>
      </c>
      <c r="FH14" s="20" t="s">
        <v>303</v>
      </c>
      <c r="FI14" s="74">
        <v>233936</v>
      </c>
      <c r="FJ14" s="395" t="s">
        <v>1387</v>
      </c>
    </row>
    <row r="15" spans="1:228" s="214" customFormat="1" ht="98.25" hidden="1" customHeight="1">
      <c r="A15" s="371"/>
      <c r="B15" s="372"/>
      <c r="C15" s="372"/>
      <c r="D15" s="76"/>
      <c r="E15" s="386"/>
      <c r="F15" s="373"/>
      <c r="G15" s="77"/>
      <c r="H15" s="78">
        <v>145000000</v>
      </c>
      <c r="I15" s="374"/>
      <c r="J15" s="63" t="s">
        <v>1012</v>
      </c>
      <c r="K15" s="63"/>
      <c r="L15" s="63"/>
      <c r="M15" s="62"/>
      <c r="N15" s="63"/>
      <c r="O15" s="62"/>
      <c r="P15" s="65"/>
      <c r="Q15" s="66"/>
      <c r="R15" s="67"/>
      <c r="S15" s="67"/>
      <c r="T15" s="67"/>
      <c r="U15" s="67"/>
      <c r="V15" s="68"/>
      <c r="W15" s="68"/>
      <c r="X15" s="213"/>
      <c r="Y15" s="213"/>
      <c r="Z15" s="213">
        <f>Z14+Z13</f>
        <v>87521810.530000001</v>
      </c>
      <c r="AA15" s="255"/>
      <c r="AB15" s="255"/>
      <c r="AC15" s="255"/>
      <c r="AD15" s="255"/>
      <c r="AE15" s="255"/>
      <c r="AF15" s="256"/>
      <c r="AG15" s="375"/>
      <c r="AH15" s="255"/>
      <c r="AI15" s="255"/>
      <c r="AJ15" s="255"/>
      <c r="AK15" s="376"/>
      <c r="AL15" s="256"/>
      <c r="AM15" s="258"/>
      <c r="AN15" s="255"/>
      <c r="AO15" s="257"/>
      <c r="AP15" s="255"/>
      <c r="AQ15" s="255"/>
      <c r="AR15" s="255"/>
      <c r="AS15" s="257"/>
      <c r="AT15" s="255"/>
      <c r="AU15" s="255"/>
      <c r="AV15" s="255"/>
      <c r="AW15" s="259"/>
      <c r="AX15" s="255"/>
      <c r="AY15" s="255"/>
      <c r="AZ15" s="255"/>
      <c r="BA15" s="255"/>
      <c r="BB15" s="255"/>
      <c r="BC15" s="255"/>
      <c r="BD15" s="255"/>
      <c r="BE15" s="255"/>
      <c r="BF15" s="255"/>
      <c r="BG15" s="255"/>
      <c r="BH15" s="255"/>
      <c r="BI15" s="255"/>
      <c r="BJ15" s="255"/>
      <c r="BK15" s="255"/>
      <c r="BL15" s="255"/>
      <c r="BM15" s="255"/>
      <c r="BN15" s="255"/>
      <c r="BO15" s="255"/>
      <c r="BP15" s="255"/>
      <c r="BQ15" s="255"/>
      <c r="BR15" s="255"/>
      <c r="BS15" s="255"/>
      <c r="BT15" s="255"/>
      <c r="BU15" s="255"/>
      <c r="BV15" s="255"/>
      <c r="BW15" s="255"/>
      <c r="BX15" s="255"/>
      <c r="BY15" s="255"/>
      <c r="BZ15" s="255"/>
      <c r="CA15" s="255"/>
      <c r="CB15" s="255"/>
      <c r="CC15" s="255"/>
      <c r="CD15" s="255"/>
      <c r="CE15" s="255"/>
      <c r="CF15" s="255"/>
      <c r="CG15" s="255"/>
      <c r="CH15" s="255"/>
      <c r="CI15" s="255"/>
      <c r="CJ15" s="255"/>
      <c r="CK15" s="255"/>
      <c r="CL15" s="255"/>
      <c r="CM15" s="255"/>
      <c r="CN15" s="255"/>
      <c r="CO15" s="255"/>
      <c r="CP15" s="255"/>
      <c r="CQ15" s="255"/>
      <c r="CR15" s="255"/>
      <c r="CS15" s="255"/>
      <c r="CT15" s="255"/>
      <c r="CU15" s="255"/>
      <c r="CV15" s="255"/>
      <c r="CW15" s="255"/>
      <c r="CX15" s="255"/>
      <c r="CY15" s="255"/>
      <c r="CZ15" s="255"/>
      <c r="DA15" s="255"/>
      <c r="DB15" s="255"/>
      <c r="DC15" s="255"/>
      <c r="DD15" s="255"/>
      <c r="DE15" s="255"/>
      <c r="DF15" s="255"/>
      <c r="DG15" s="255"/>
      <c r="DH15" s="255"/>
      <c r="DI15" s="255"/>
      <c r="DJ15" s="255"/>
      <c r="DK15" s="255"/>
      <c r="DL15" s="255"/>
      <c r="DM15" s="255"/>
      <c r="DN15" s="255"/>
      <c r="DO15" s="255"/>
      <c r="DP15" s="255"/>
      <c r="DQ15" s="255"/>
      <c r="DR15" s="255"/>
      <c r="DS15" s="255"/>
      <c r="DT15" s="255"/>
      <c r="DU15" s="255"/>
      <c r="DV15" s="255"/>
      <c r="DW15" s="255"/>
      <c r="DX15" s="255"/>
      <c r="DY15" s="255"/>
      <c r="DZ15" s="255"/>
      <c r="EA15" s="255"/>
      <c r="EB15" s="255"/>
      <c r="EC15" s="255"/>
      <c r="ED15" s="255"/>
      <c r="EE15" s="255"/>
      <c r="EF15" s="255"/>
      <c r="EG15" s="255"/>
      <c r="EH15" s="377"/>
      <c r="EI15" s="377"/>
      <c r="EJ15" s="377"/>
      <c r="EK15" s="255"/>
      <c r="EL15" s="255"/>
      <c r="EM15" s="255"/>
      <c r="EN15" s="255"/>
      <c r="EO15" s="255"/>
      <c r="EP15" s="255"/>
      <c r="EQ15" s="216"/>
      <c r="ER15" s="216"/>
      <c r="ES15" s="63"/>
      <c r="ET15" s="63"/>
      <c r="EU15" s="62"/>
      <c r="EV15" s="63"/>
      <c r="EW15" s="63"/>
      <c r="EX15" s="63"/>
      <c r="EY15" s="339"/>
      <c r="EZ15" s="339">
        <f>((EZ13*Z13)+(EZ14*Z14))/Z15</f>
        <v>0.98091405787329522</v>
      </c>
      <c r="FA15" s="378"/>
      <c r="FB15" s="378"/>
      <c r="FC15" s="379"/>
      <c r="FD15" s="340" t="s">
        <v>149</v>
      </c>
      <c r="FE15" s="62"/>
      <c r="FF15" s="62"/>
      <c r="FG15" s="62"/>
      <c r="FH15" s="62"/>
      <c r="FI15" s="69"/>
      <c r="FJ15" s="396"/>
    </row>
    <row r="16" spans="1:228" ht="161.25" hidden="1" customHeight="1">
      <c r="A16" s="207">
        <v>8</v>
      </c>
      <c r="B16" s="294" t="s">
        <v>1359</v>
      </c>
      <c r="C16" s="5" t="s">
        <v>1360</v>
      </c>
      <c r="D16" s="5" t="s">
        <v>1196</v>
      </c>
      <c r="E16" s="5"/>
      <c r="F16" s="290" t="s">
        <v>1358</v>
      </c>
      <c r="G16" s="275" t="s">
        <v>973</v>
      </c>
      <c r="H16" s="297"/>
      <c r="I16" s="296"/>
      <c r="J16" s="18" t="s">
        <v>230</v>
      </c>
      <c r="K16" s="18" t="s">
        <v>906</v>
      </c>
      <c r="L16" s="18" t="s">
        <v>941</v>
      </c>
      <c r="M16" s="47" t="s">
        <v>300</v>
      </c>
      <c r="N16" s="18" t="s">
        <v>942</v>
      </c>
      <c r="O16" s="47">
        <v>5552085416</v>
      </c>
      <c r="P16" s="20" t="s">
        <v>987</v>
      </c>
      <c r="Q16" s="21"/>
      <c r="R16" s="22"/>
      <c r="S16" s="22"/>
      <c r="T16" s="22"/>
      <c r="U16" s="22"/>
      <c r="V16" s="48">
        <v>44812</v>
      </c>
      <c r="W16" s="48">
        <v>44817</v>
      </c>
      <c r="X16" s="23">
        <f>70170146.46+40988881.22</f>
        <v>111159027.67999999</v>
      </c>
      <c r="Y16" s="23">
        <f t="shared" si="4"/>
        <v>128944472.10879998</v>
      </c>
      <c r="Z16" s="23">
        <v>128944472.11</v>
      </c>
      <c r="AA16" s="204">
        <f t="shared" si="9"/>
        <v>-128944472.11</v>
      </c>
      <c r="AB16" s="204">
        <v>0</v>
      </c>
      <c r="AC16" s="204">
        <v>0</v>
      </c>
      <c r="AD16" s="50">
        <v>34251837.060000002</v>
      </c>
      <c r="AE16" s="204">
        <v>0</v>
      </c>
      <c r="AF16" s="50">
        <f>AD16-AE16</f>
        <v>34251837.060000002</v>
      </c>
      <c r="AG16" s="314">
        <v>44889</v>
      </c>
      <c r="AH16" s="204">
        <v>6207090.7699999996</v>
      </c>
      <c r="AI16" s="204">
        <v>0</v>
      </c>
      <c r="AJ16" s="204">
        <f>AH16-AI16</f>
        <v>6207090.7699999996</v>
      </c>
      <c r="AK16" s="314">
        <v>44902</v>
      </c>
      <c r="AL16" s="204">
        <v>8001919.8099999996</v>
      </c>
      <c r="AM16" s="254">
        <v>0</v>
      </c>
      <c r="AN16" s="204">
        <f>AL16-AM16</f>
        <v>8001919.8099999996</v>
      </c>
      <c r="AO16" s="253">
        <v>44959</v>
      </c>
      <c r="AP16" s="204">
        <v>10188233.26</v>
      </c>
      <c r="AQ16" s="204">
        <v>0</v>
      </c>
      <c r="AR16" s="204">
        <f>AP16-AQ16</f>
        <v>10188233.26</v>
      </c>
      <c r="AS16" s="253">
        <v>44985</v>
      </c>
      <c r="AT16" s="204">
        <v>5320295.17</v>
      </c>
      <c r="AU16" s="204">
        <v>0</v>
      </c>
      <c r="AV16" s="204">
        <f>AT16-AU16</f>
        <v>5320295.17</v>
      </c>
      <c r="AW16" s="249">
        <v>45009</v>
      </c>
      <c r="AX16" s="250">
        <v>11725303.07</v>
      </c>
      <c r="AY16" s="204">
        <v>0</v>
      </c>
      <c r="AZ16" s="204">
        <f>AX16-AY16</f>
        <v>11725303.07</v>
      </c>
      <c r="BA16" s="249">
        <v>45036</v>
      </c>
      <c r="BB16" s="204">
        <v>5034840.3</v>
      </c>
      <c r="BC16" s="204">
        <v>0</v>
      </c>
      <c r="BD16" s="204">
        <f>BB16-BC16</f>
        <v>5034840.3</v>
      </c>
      <c r="BE16" s="204"/>
      <c r="BF16" s="204">
        <v>667849.46</v>
      </c>
      <c r="BG16" s="204">
        <v>0</v>
      </c>
      <c r="BH16" s="204">
        <f>BF16-BG16</f>
        <v>667849.46</v>
      </c>
      <c r="BI16" s="249">
        <v>45062</v>
      </c>
      <c r="BJ16" s="204">
        <v>0</v>
      </c>
      <c r="BK16" s="204">
        <v>0</v>
      </c>
      <c r="BL16" s="204">
        <f>BJ16-BK16</f>
        <v>0</v>
      </c>
      <c r="BM16" s="204" t="s">
        <v>1345</v>
      </c>
      <c r="BN16" s="204">
        <v>29845969.93</v>
      </c>
      <c r="BO16" s="204">
        <v>0</v>
      </c>
      <c r="BP16" s="204">
        <f>BN16-BO16</f>
        <v>29845969.93</v>
      </c>
      <c r="BQ16" s="204" t="s">
        <v>1346</v>
      </c>
      <c r="BR16" s="204">
        <v>13156254.02</v>
      </c>
      <c r="BS16" s="204">
        <v>0</v>
      </c>
      <c r="BT16" s="204">
        <f>BR16-BS16</f>
        <v>13156254.02</v>
      </c>
      <c r="BU16" s="204"/>
      <c r="BV16" s="204">
        <v>4345164.1900000004</v>
      </c>
      <c r="BW16" s="204">
        <v>0</v>
      </c>
      <c r="BX16" s="204">
        <f>BV16-BW16</f>
        <v>4345164.1900000004</v>
      </c>
      <c r="BY16" s="204" t="s">
        <v>1394</v>
      </c>
      <c r="BZ16" s="204"/>
      <c r="CA16" s="204"/>
      <c r="CB16" s="204"/>
      <c r="CC16" s="204"/>
      <c r="CD16" s="204"/>
      <c r="CE16" s="204"/>
      <c r="CF16" s="204"/>
      <c r="CG16" s="204"/>
      <c r="CH16" s="204"/>
      <c r="CI16" s="204"/>
      <c r="CJ16" s="204"/>
      <c r="CK16" s="204"/>
      <c r="CL16" s="204"/>
      <c r="CM16" s="204"/>
      <c r="CN16" s="204"/>
      <c r="CO16" s="204"/>
      <c r="CP16" s="204"/>
      <c r="CQ16" s="204"/>
      <c r="CR16" s="204"/>
      <c r="CS16" s="204"/>
      <c r="CT16" s="204"/>
      <c r="CU16" s="204"/>
      <c r="CV16" s="204"/>
      <c r="CW16" s="204"/>
      <c r="CX16" s="204"/>
      <c r="CY16" s="204"/>
      <c r="CZ16" s="204"/>
      <c r="DA16" s="204"/>
      <c r="DB16" s="204"/>
      <c r="DC16" s="204"/>
      <c r="DD16" s="204"/>
      <c r="DE16" s="204"/>
      <c r="DF16" s="204"/>
      <c r="DG16" s="204"/>
      <c r="DH16" s="204"/>
      <c r="DI16" s="204"/>
      <c r="DJ16" s="204"/>
      <c r="DK16" s="204"/>
      <c r="DL16" s="204"/>
      <c r="DM16" s="204"/>
      <c r="DN16" s="204"/>
      <c r="DO16" s="204"/>
      <c r="DP16" s="204"/>
      <c r="DQ16" s="204"/>
      <c r="DR16" s="204"/>
      <c r="DS16" s="204"/>
      <c r="DT16" s="204"/>
      <c r="DU16" s="204"/>
      <c r="DV16" s="204"/>
      <c r="DW16" s="204"/>
      <c r="DX16" s="204"/>
      <c r="DY16" s="204"/>
      <c r="DZ16" s="204"/>
      <c r="EA16" s="204"/>
      <c r="EB16" s="204"/>
      <c r="EC16" s="204"/>
      <c r="ED16" s="204"/>
      <c r="EE16" s="204"/>
      <c r="EF16" s="204"/>
      <c r="EG16" s="204"/>
      <c r="EH16" s="250">
        <f>AD16+AH16+AL16+AP16+AT16+AX16+BB16+BF16+BJ16+BN16+BR16+BV16+BZ16+CD16+CH16+CL16+CP16+CT16+CX16+DA16+DD16+DG16+DJ16+DM16+DP16+DS16+DV16+DY16+EB16+EE16</f>
        <v>128744757.03999998</v>
      </c>
      <c r="EI16" s="250">
        <f t="shared" si="8"/>
        <v>0</v>
      </c>
      <c r="EJ16" s="250">
        <f t="shared" si="8"/>
        <v>128744757.03999998</v>
      </c>
      <c r="EK16" s="204">
        <f t="shared" si="10"/>
        <v>128744757.03999998</v>
      </c>
      <c r="EL16" s="204">
        <f t="shared" si="11"/>
        <v>0</v>
      </c>
      <c r="EM16" s="352">
        <f t="shared" si="12"/>
        <v>199715.07000002265</v>
      </c>
      <c r="EN16" s="204">
        <f t="shared" si="13"/>
        <v>0</v>
      </c>
      <c r="EO16" s="204">
        <f t="shared" si="14"/>
        <v>-128744757.03999998</v>
      </c>
      <c r="EP16" s="204"/>
      <c r="EQ16" s="55">
        <v>44818</v>
      </c>
      <c r="ER16" s="55">
        <v>45015</v>
      </c>
      <c r="ES16" s="415">
        <v>47547102.219999999</v>
      </c>
      <c r="ET16" s="47" t="s">
        <v>1363</v>
      </c>
      <c r="EU16" s="18"/>
      <c r="EV16" s="18"/>
      <c r="EW16" s="18"/>
      <c r="EX16" s="18"/>
      <c r="EY16" s="331">
        <f t="shared" si="15"/>
        <v>0.99845115446415067</v>
      </c>
      <c r="EZ16" s="332">
        <v>1</v>
      </c>
      <c r="FA16" s="336"/>
      <c r="FB16" s="336"/>
      <c r="FC16" s="413">
        <f>(AC16+EH16-EI16)/Z16</f>
        <v>0.99845115446415067</v>
      </c>
      <c r="FD16" s="338" t="s">
        <v>147</v>
      </c>
      <c r="FE16" s="47" t="s">
        <v>255</v>
      </c>
      <c r="FF16" s="47"/>
      <c r="FG16" s="47" t="s">
        <v>961</v>
      </c>
      <c r="FH16" s="47" t="s">
        <v>169</v>
      </c>
      <c r="FI16" s="25">
        <v>25446</v>
      </c>
      <c r="FJ16" s="51" t="s">
        <v>1362</v>
      </c>
    </row>
    <row r="17" spans="1:166" ht="165" hidden="1" customHeight="1">
      <c r="A17" s="207">
        <v>9</v>
      </c>
      <c r="B17" s="294" t="s">
        <v>833</v>
      </c>
      <c r="C17" s="5" t="s">
        <v>833</v>
      </c>
      <c r="D17" s="5" t="s">
        <v>1196</v>
      </c>
      <c r="E17" s="264"/>
      <c r="F17" s="290">
        <v>121830</v>
      </c>
      <c r="G17" s="275" t="s">
        <v>974</v>
      </c>
      <c r="H17" s="297"/>
      <c r="I17" s="297"/>
      <c r="J17" s="18" t="s">
        <v>230</v>
      </c>
      <c r="K17" s="18" t="s">
        <v>943</v>
      </c>
      <c r="L17" s="18" t="s">
        <v>944</v>
      </c>
      <c r="M17" s="47" t="s">
        <v>945</v>
      </c>
      <c r="N17" s="18" t="s">
        <v>946</v>
      </c>
      <c r="O17" s="47">
        <v>5563949817</v>
      </c>
      <c r="P17" s="20" t="s">
        <v>947</v>
      </c>
      <c r="Q17" s="21"/>
      <c r="R17" s="22"/>
      <c r="S17" s="22"/>
      <c r="T17" s="22"/>
      <c r="U17" s="22"/>
      <c r="V17" s="48">
        <v>44799</v>
      </c>
      <c r="W17" s="48">
        <v>44802</v>
      </c>
      <c r="X17" s="23">
        <f>2148276.16+421020.62</f>
        <v>2569296.7800000003</v>
      </c>
      <c r="Y17" s="23">
        <f t="shared" si="4"/>
        <v>2980384.2648</v>
      </c>
      <c r="Z17" s="23">
        <v>2980384.26</v>
      </c>
      <c r="AA17" s="204">
        <f t="shared" si="9"/>
        <v>-2980384.26</v>
      </c>
      <c r="AB17" s="204">
        <v>0</v>
      </c>
      <c r="AC17" s="204">
        <v>0</v>
      </c>
      <c r="AD17" s="204">
        <v>335723.31</v>
      </c>
      <c r="AE17" s="204">
        <v>0</v>
      </c>
      <c r="AF17" s="50">
        <f>AD17-AE17</f>
        <v>335723.31</v>
      </c>
      <c r="AG17" s="314">
        <v>44902</v>
      </c>
      <c r="AH17" s="204">
        <v>162896.57</v>
      </c>
      <c r="AI17" s="204">
        <v>0</v>
      </c>
      <c r="AJ17" s="204">
        <f>AH17-AI17</f>
        <v>162896.57</v>
      </c>
      <c r="AK17" s="314">
        <v>44907</v>
      </c>
      <c r="AL17" s="50">
        <v>243139.5</v>
      </c>
      <c r="AM17" s="254">
        <v>0</v>
      </c>
      <c r="AN17" s="204">
        <f>AL17-AM17</f>
        <v>243139.5</v>
      </c>
      <c r="AO17" s="253">
        <v>44960</v>
      </c>
      <c r="AP17" s="204">
        <v>242606.33</v>
      </c>
      <c r="AQ17" s="204">
        <v>0</v>
      </c>
      <c r="AR17" s="204">
        <f>AP17-AQ17</f>
        <v>242606.33</v>
      </c>
      <c r="AS17" s="253">
        <v>44971</v>
      </c>
      <c r="AT17" s="204">
        <v>242831.87</v>
      </c>
      <c r="AU17" s="204">
        <v>0</v>
      </c>
      <c r="AV17" s="204">
        <f>AT17-AU17</f>
        <v>242831.87</v>
      </c>
      <c r="AW17" s="249">
        <v>45008</v>
      </c>
      <c r="AX17" s="204">
        <v>243194.86</v>
      </c>
      <c r="AY17" s="204">
        <v>0</v>
      </c>
      <c r="AZ17" s="204">
        <f>AX17-AY17</f>
        <v>243194.86</v>
      </c>
      <c r="BA17" s="249">
        <v>45016</v>
      </c>
      <c r="BB17" s="204">
        <v>317410.95</v>
      </c>
      <c r="BC17" s="204">
        <v>0</v>
      </c>
      <c r="BD17" s="204">
        <f>BB17-BC17</f>
        <v>317410.95</v>
      </c>
      <c r="BE17" s="204"/>
      <c r="BF17" s="204">
        <v>251530.84</v>
      </c>
      <c r="BG17" s="204">
        <v>0</v>
      </c>
      <c r="BH17" s="204">
        <f>BF17-BG17</f>
        <v>251530.84</v>
      </c>
      <c r="BI17" s="204"/>
      <c r="BJ17" s="204">
        <v>322403.28000000003</v>
      </c>
      <c r="BK17" s="204">
        <v>0</v>
      </c>
      <c r="BL17" s="204">
        <f>BJ17-BK17</f>
        <v>322403.28000000003</v>
      </c>
      <c r="BM17" s="204"/>
      <c r="BN17" s="204">
        <v>130262.84</v>
      </c>
      <c r="BO17" s="204">
        <v>0</v>
      </c>
      <c r="BP17" s="204">
        <f>BN17-BO17</f>
        <v>130262.84</v>
      </c>
      <c r="BQ17" s="204"/>
      <c r="BR17" s="204"/>
      <c r="BS17" s="204"/>
      <c r="BT17" s="204"/>
      <c r="BU17" s="204"/>
      <c r="BV17" s="204"/>
      <c r="BW17" s="204"/>
      <c r="BX17" s="204"/>
      <c r="BY17" s="204"/>
      <c r="BZ17" s="204"/>
      <c r="CA17" s="204"/>
      <c r="CB17" s="204"/>
      <c r="CC17" s="204"/>
      <c r="CD17" s="204"/>
      <c r="CE17" s="204"/>
      <c r="CF17" s="204"/>
      <c r="CG17" s="204"/>
      <c r="CH17" s="204"/>
      <c r="CI17" s="204"/>
      <c r="CJ17" s="204"/>
      <c r="CK17" s="204"/>
      <c r="CL17" s="204"/>
      <c r="CM17" s="204"/>
      <c r="CN17" s="204"/>
      <c r="CO17" s="204"/>
      <c r="CP17" s="204"/>
      <c r="CQ17" s="204"/>
      <c r="CR17" s="204"/>
      <c r="CS17" s="204"/>
      <c r="CT17" s="204"/>
      <c r="CU17" s="204"/>
      <c r="CV17" s="204"/>
      <c r="CW17" s="204"/>
      <c r="CX17" s="204"/>
      <c r="CY17" s="204"/>
      <c r="CZ17" s="204"/>
      <c r="DA17" s="204"/>
      <c r="DB17" s="204"/>
      <c r="DC17" s="204"/>
      <c r="DD17" s="204"/>
      <c r="DE17" s="204"/>
      <c r="DF17" s="204"/>
      <c r="DG17" s="204"/>
      <c r="DH17" s="204"/>
      <c r="DI17" s="204"/>
      <c r="DJ17" s="204"/>
      <c r="DK17" s="204"/>
      <c r="DL17" s="204"/>
      <c r="DM17" s="204"/>
      <c r="DN17" s="204"/>
      <c r="DO17" s="204"/>
      <c r="DP17" s="204"/>
      <c r="DQ17" s="204"/>
      <c r="DR17" s="204"/>
      <c r="DS17" s="204"/>
      <c r="DT17" s="204"/>
      <c r="DU17" s="204"/>
      <c r="DV17" s="204"/>
      <c r="DW17" s="204"/>
      <c r="DX17" s="204"/>
      <c r="DY17" s="204"/>
      <c r="DZ17" s="204"/>
      <c r="EA17" s="204"/>
      <c r="EB17" s="204"/>
      <c r="EC17" s="204"/>
      <c r="ED17" s="204"/>
      <c r="EE17" s="204"/>
      <c r="EF17" s="204"/>
      <c r="EG17" s="204"/>
      <c r="EH17" s="250">
        <f>AD17+AH17+AL17+AP17+AT17+AX17+BB17+BF17+BJ17+BN17+BR17+BV17+BZ17+CD17+CH17+CL17+CP17+CT17+CX17+DA17+DD17+DG17+DJ17+DM17+DP17+DS17+DV17+DY17+EB17+EE17</f>
        <v>2492000.3499999996</v>
      </c>
      <c r="EI17" s="250">
        <f t="shared" si="8"/>
        <v>0</v>
      </c>
      <c r="EJ17" s="250">
        <f t="shared" si="8"/>
        <v>2492000.3499999996</v>
      </c>
      <c r="EK17" s="204">
        <f t="shared" si="10"/>
        <v>2492000.3499999996</v>
      </c>
      <c r="EL17" s="204">
        <f t="shared" si="11"/>
        <v>0</v>
      </c>
      <c r="EM17" s="255">
        <f t="shared" si="12"/>
        <v>488383.91000000015</v>
      </c>
      <c r="EN17" s="204">
        <f t="shared" si="13"/>
        <v>0</v>
      </c>
      <c r="EO17" s="204">
        <f t="shared" si="14"/>
        <v>-2492000.3499999996</v>
      </c>
      <c r="EP17" s="204"/>
      <c r="EQ17" s="55">
        <v>44803</v>
      </c>
      <c r="ER17" s="55">
        <v>45031</v>
      </c>
      <c r="ES17" s="422">
        <v>2980384.27</v>
      </c>
      <c r="ET17" s="47" t="s">
        <v>1389</v>
      </c>
      <c r="EU17" s="18"/>
      <c r="EV17" s="18"/>
      <c r="EW17" s="18"/>
      <c r="EX17" s="18"/>
      <c r="EY17" s="331">
        <f t="shared" si="15"/>
        <v>0.83613391180639229</v>
      </c>
      <c r="EZ17" s="332">
        <v>1</v>
      </c>
      <c r="FA17" s="336"/>
      <c r="FB17" s="336"/>
      <c r="FC17" s="337">
        <f>(AC17+EH17-EI17)/Z17</f>
        <v>0.83613391180639229</v>
      </c>
      <c r="FD17" s="338" t="s">
        <v>147</v>
      </c>
      <c r="FE17" s="47" t="s">
        <v>255</v>
      </c>
      <c r="FF17" s="47"/>
      <c r="FG17" s="47" t="s">
        <v>162</v>
      </c>
      <c r="FH17" s="47" t="s">
        <v>303</v>
      </c>
      <c r="FI17" s="25">
        <v>25446</v>
      </c>
      <c r="FJ17" s="51" t="s">
        <v>1390</v>
      </c>
    </row>
    <row r="18" spans="1:166" ht="212.25" hidden="1" customHeight="1">
      <c r="A18" s="207">
        <v>10</v>
      </c>
      <c r="B18" s="294" t="s">
        <v>833</v>
      </c>
      <c r="C18" s="5" t="s">
        <v>833</v>
      </c>
      <c r="D18" s="5" t="s">
        <v>1196</v>
      </c>
      <c r="E18" s="264"/>
      <c r="F18" s="290">
        <v>121830</v>
      </c>
      <c r="G18" s="275" t="s">
        <v>997</v>
      </c>
      <c r="H18" s="297"/>
      <c r="I18" s="297"/>
      <c r="J18" s="18" t="s">
        <v>230</v>
      </c>
      <c r="K18" s="18" t="s">
        <v>998</v>
      </c>
      <c r="L18" s="18" t="s">
        <v>1020</v>
      </c>
      <c r="M18" s="47" t="s">
        <v>1021</v>
      </c>
      <c r="N18" s="18" t="s">
        <v>1022</v>
      </c>
      <c r="O18" s="47">
        <v>7262664024</v>
      </c>
      <c r="P18" s="20" t="s">
        <v>1019</v>
      </c>
      <c r="Q18" s="21"/>
      <c r="R18" s="22"/>
      <c r="S18" s="22"/>
      <c r="T18" s="22"/>
      <c r="U18" s="22"/>
      <c r="V18" s="48">
        <v>44819</v>
      </c>
      <c r="W18" s="48">
        <v>44824</v>
      </c>
      <c r="X18" s="23">
        <v>65667490.840000004</v>
      </c>
      <c r="Y18" s="23">
        <f t="shared" si="4"/>
        <v>76174289.374400005</v>
      </c>
      <c r="Z18" s="23">
        <v>76174289.370000005</v>
      </c>
      <c r="AA18" s="204">
        <f t="shared" si="9"/>
        <v>-76174289.370000005</v>
      </c>
      <c r="AB18" s="204">
        <v>0</v>
      </c>
      <c r="AC18" s="204">
        <v>0</v>
      </c>
      <c r="AD18" s="204">
        <v>5799416.0099999998</v>
      </c>
      <c r="AE18" s="204">
        <v>0</v>
      </c>
      <c r="AF18" s="50">
        <f>AD18-AE18</f>
        <v>5799416.0099999998</v>
      </c>
      <c r="AG18" s="253">
        <v>44916</v>
      </c>
      <c r="AH18" s="204">
        <v>11717489.380000001</v>
      </c>
      <c r="AI18" s="204">
        <v>0</v>
      </c>
      <c r="AJ18" s="204">
        <f>AH18-AI18</f>
        <v>11717489.380000001</v>
      </c>
      <c r="AK18" s="253">
        <v>44922</v>
      </c>
      <c r="AL18" s="204">
        <v>16585977.42</v>
      </c>
      <c r="AM18" s="254">
        <v>0</v>
      </c>
      <c r="AN18" s="204">
        <f>AL18-AM18</f>
        <v>16585977.42</v>
      </c>
      <c r="AO18" s="253"/>
      <c r="AP18" s="204">
        <v>18317598.59</v>
      </c>
      <c r="AQ18" s="204">
        <v>0</v>
      </c>
      <c r="AR18" s="204">
        <f>AP18-AQ18</f>
        <v>18317598.59</v>
      </c>
      <c r="AS18" s="253"/>
      <c r="AT18" s="204">
        <v>5524426.9400000004</v>
      </c>
      <c r="AU18" s="204">
        <v>0</v>
      </c>
      <c r="AV18" s="204">
        <f>AT18-AU18</f>
        <v>5524426.9400000004</v>
      </c>
      <c r="AW18" s="249"/>
      <c r="AX18" s="204">
        <v>11922303.029999999</v>
      </c>
      <c r="AY18" s="204">
        <v>0</v>
      </c>
      <c r="AZ18" s="204">
        <f>AX18-AY18</f>
        <v>11922303.029999999</v>
      </c>
      <c r="BA18" s="204"/>
      <c r="BB18" s="204">
        <v>4632065.41</v>
      </c>
      <c r="BC18" s="204">
        <v>0</v>
      </c>
      <c r="BD18" s="204">
        <f>BB18-BC18</f>
        <v>4632065.41</v>
      </c>
      <c r="BE18" s="204"/>
      <c r="BF18" s="204">
        <v>1669219.28</v>
      </c>
      <c r="BG18" s="204">
        <v>0</v>
      </c>
      <c r="BH18" s="204">
        <f>BF18-BG18</f>
        <v>1669219.28</v>
      </c>
      <c r="BI18" s="204"/>
      <c r="BJ18" s="204"/>
      <c r="BK18" s="204"/>
      <c r="BL18" s="204"/>
      <c r="BM18" s="204"/>
      <c r="BN18" s="204"/>
      <c r="BO18" s="204"/>
      <c r="BP18" s="204"/>
      <c r="BQ18" s="204"/>
      <c r="BR18" s="204"/>
      <c r="BS18" s="204"/>
      <c r="BT18" s="204"/>
      <c r="BU18" s="204"/>
      <c r="BV18" s="204"/>
      <c r="BW18" s="204"/>
      <c r="BX18" s="204"/>
      <c r="BY18" s="204"/>
      <c r="BZ18" s="204"/>
      <c r="CA18" s="204"/>
      <c r="CB18" s="204"/>
      <c r="CC18" s="204"/>
      <c r="CD18" s="204"/>
      <c r="CE18" s="204"/>
      <c r="CF18" s="204"/>
      <c r="CG18" s="204"/>
      <c r="CH18" s="204"/>
      <c r="CI18" s="204"/>
      <c r="CJ18" s="204"/>
      <c r="CK18" s="204"/>
      <c r="CL18" s="204"/>
      <c r="CM18" s="204"/>
      <c r="CN18" s="204"/>
      <c r="CO18" s="204"/>
      <c r="CP18" s="204"/>
      <c r="CQ18" s="204"/>
      <c r="CR18" s="204"/>
      <c r="CS18" s="204"/>
      <c r="CT18" s="204"/>
      <c r="CU18" s="204"/>
      <c r="CV18" s="204"/>
      <c r="CW18" s="204"/>
      <c r="CX18" s="204"/>
      <c r="CY18" s="204"/>
      <c r="CZ18" s="204"/>
      <c r="DA18" s="204"/>
      <c r="DB18" s="204"/>
      <c r="DC18" s="204"/>
      <c r="DD18" s="204"/>
      <c r="DE18" s="204"/>
      <c r="DF18" s="204"/>
      <c r="DG18" s="204"/>
      <c r="DH18" s="204"/>
      <c r="DI18" s="204"/>
      <c r="DJ18" s="204"/>
      <c r="DK18" s="204"/>
      <c r="DL18" s="204"/>
      <c r="DM18" s="204"/>
      <c r="DN18" s="204"/>
      <c r="DO18" s="204"/>
      <c r="DP18" s="204"/>
      <c r="DQ18" s="204"/>
      <c r="DR18" s="204"/>
      <c r="DS18" s="204"/>
      <c r="DT18" s="204"/>
      <c r="DU18" s="204"/>
      <c r="DV18" s="204"/>
      <c r="DW18" s="204"/>
      <c r="DX18" s="204"/>
      <c r="DY18" s="204"/>
      <c r="DZ18" s="204"/>
      <c r="EA18" s="204"/>
      <c r="EB18" s="204"/>
      <c r="EC18" s="204"/>
      <c r="ED18" s="204"/>
      <c r="EE18" s="204"/>
      <c r="EF18" s="204"/>
      <c r="EG18" s="204"/>
      <c r="EH18" s="250">
        <f>AD18+AH18+AL18+AP18+AT18+AX18+BB18+BF18+BJ18+BN18+BR18+BV18+BZ18+CD18+CH18+CL18+CP18+CT18+CX18+DA18+DD18+DG18+DJ18+DM18+DP18+DS18+DV18+DY18+EB18+EE18</f>
        <v>76168496.060000002</v>
      </c>
      <c r="EI18" s="250">
        <f t="shared" si="8"/>
        <v>0</v>
      </c>
      <c r="EJ18" s="250">
        <f t="shared" si="8"/>
        <v>76168496.060000002</v>
      </c>
      <c r="EK18" s="204">
        <f t="shared" si="10"/>
        <v>76168496.060000002</v>
      </c>
      <c r="EL18" s="204">
        <f t="shared" si="11"/>
        <v>0</v>
      </c>
      <c r="EM18" s="255">
        <f t="shared" si="12"/>
        <v>5793.3100000023842</v>
      </c>
      <c r="EN18" s="204">
        <f t="shared" si="13"/>
        <v>0</v>
      </c>
      <c r="EO18" s="204">
        <f t="shared" si="14"/>
        <v>-76168496.060000002</v>
      </c>
      <c r="EP18" s="204"/>
      <c r="EQ18" s="55">
        <v>44826</v>
      </c>
      <c r="ER18" s="55">
        <v>45016</v>
      </c>
      <c r="ES18" s="18"/>
      <c r="ET18" s="18"/>
      <c r="EU18" s="18"/>
      <c r="EV18" s="18"/>
      <c r="EW18" s="18"/>
      <c r="EX18" s="18"/>
      <c r="EY18" s="331">
        <f>EH18/Z18</f>
        <v>0.99992394664856188</v>
      </c>
      <c r="EZ18" s="332">
        <v>1</v>
      </c>
      <c r="FA18" s="336"/>
      <c r="FB18" s="336"/>
      <c r="FC18" s="337">
        <f>(AC18+EH18-EI18)/Z18</f>
        <v>0.99992394664856188</v>
      </c>
      <c r="FD18" s="338" t="s">
        <v>147</v>
      </c>
      <c r="FE18" s="47" t="s">
        <v>999</v>
      </c>
      <c r="FF18" s="47"/>
      <c r="FG18" s="47" t="s">
        <v>177</v>
      </c>
      <c r="FH18" s="47" t="s">
        <v>169</v>
      </c>
      <c r="FI18" s="25">
        <v>5408</v>
      </c>
      <c r="FJ18" s="51" t="s">
        <v>1011</v>
      </c>
    </row>
    <row r="19" spans="1:166" ht="180" hidden="1" customHeight="1">
      <c r="A19" s="276"/>
      <c r="B19" s="294" t="s">
        <v>833</v>
      </c>
      <c r="C19" s="5" t="s">
        <v>833</v>
      </c>
      <c r="D19" s="5" t="s">
        <v>1196</v>
      </c>
      <c r="E19" s="264"/>
      <c r="F19" s="290">
        <v>121830</v>
      </c>
      <c r="G19" s="275" t="s">
        <v>976</v>
      </c>
      <c r="H19" s="297"/>
      <c r="I19" s="297"/>
      <c r="J19" s="18" t="s">
        <v>230</v>
      </c>
      <c r="K19" s="18" t="s">
        <v>977</v>
      </c>
      <c r="L19" s="18" t="s">
        <v>1058</v>
      </c>
      <c r="M19" s="47" t="s">
        <v>1059</v>
      </c>
      <c r="N19" s="18" t="s">
        <v>1060</v>
      </c>
      <c r="O19" s="47">
        <v>3329026508</v>
      </c>
      <c r="P19" s="20" t="s">
        <v>1061</v>
      </c>
      <c r="Q19" s="21"/>
      <c r="R19" s="22"/>
      <c r="S19" s="22"/>
      <c r="T19" s="22"/>
      <c r="U19" s="22"/>
      <c r="V19" s="48">
        <v>44813</v>
      </c>
      <c r="W19" s="48">
        <v>44816</v>
      </c>
      <c r="X19" s="23">
        <v>2153123.69</v>
      </c>
      <c r="Y19" s="23">
        <f t="shared" si="4"/>
        <v>2497623.4803999998</v>
      </c>
      <c r="Z19" s="23">
        <v>2497623.48</v>
      </c>
      <c r="AA19" s="204">
        <f t="shared" si="9"/>
        <v>-2497623.48</v>
      </c>
      <c r="AB19" s="204">
        <v>0</v>
      </c>
      <c r="AC19" s="204">
        <v>0</v>
      </c>
      <c r="AD19" s="204"/>
      <c r="AE19" s="204"/>
      <c r="AF19" s="50"/>
      <c r="AG19" s="253"/>
      <c r="AH19" s="204"/>
      <c r="AI19" s="204"/>
      <c r="AJ19" s="204"/>
      <c r="AK19" s="253"/>
      <c r="AL19" s="50"/>
      <c r="AM19" s="254"/>
      <c r="AN19" s="204"/>
      <c r="AO19" s="253"/>
      <c r="AP19" s="204"/>
      <c r="AQ19" s="204"/>
      <c r="AR19" s="204"/>
      <c r="AS19" s="253"/>
      <c r="AT19" s="204"/>
      <c r="AU19" s="204"/>
      <c r="AV19" s="204"/>
      <c r="AW19" s="249"/>
      <c r="AX19" s="204"/>
      <c r="AY19" s="204"/>
      <c r="AZ19" s="204"/>
      <c r="BA19" s="204"/>
      <c r="BB19" s="204"/>
      <c r="BC19" s="204"/>
      <c r="BD19" s="204"/>
      <c r="BE19" s="204"/>
      <c r="BF19" s="204"/>
      <c r="BG19" s="204"/>
      <c r="BH19" s="204"/>
      <c r="BI19" s="204"/>
      <c r="BJ19" s="204"/>
      <c r="BK19" s="204"/>
      <c r="BL19" s="204"/>
      <c r="BM19" s="204"/>
      <c r="BN19" s="204"/>
      <c r="BO19" s="204"/>
      <c r="BP19" s="204"/>
      <c r="BQ19" s="204"/>
      <c r="BR19" s="204"/>
      <c r="BS19" s="204"/>
      <c r="BT19" s="204"/>
      <c r="BU19" s="204"/>
      <c r="BV19" s="204"/>
      <c r="BW19" s="204"/>
      <c r="BX19" s="204"/>
      <c r="BY19" s="204"/>
      <c r="BZ19" s="204"/>
      <c r="CA19" s="204"/>
      <c r="CB19" s="204"/>
      <c r="CC19" s="204"/>
      <c r="CD19" s="204"/>
      <c r="CE19" s="204"/>
      <c r="CF19" s="204"/>
      <c r="CG19" s="204"/>
      <c r="CH19" s="204"/>
      <c r="CI19" s="204"/>
      <c r="CJ19" s="204"/>
      <c r="CK19" s="204"/>
      <c r="CL19" s="204"/>
      <c r="CM19" s="204"/>
      <c r="CN19" s="204"/>
      <c r="CO19" s="204"/>
      <c r="CP19" s="204"/>
      <c r="CQ19" s="204"/>
      <c r="CR19" s="204"/>
      <c r="CS19" s="204"/>
      <c r="CT19" s="204"/>
      <c r="CU19" s="204"/>
      <c r="CV19" s="204"/>
      <c r="CW19" s="204"/>
      <c r="CX19" s="204"/>
      <c r="CY19" s="204"/>
      <c r="CZ19" s="204"/>
      <c r="DA19" s="204"/>
      <c r="DB19" s="204"/>
      <c r="DC19" s="204"/>
      <c r="DD19" s="204"/>
      <c r="DE19" s="204"/>
      <c r="DF19" s="204"/>
      <c r="DG19" s="204"/>
      <c r="DH19" s="204"/>
      <c r="DI19" s="204"/>
      <c r="DJ19" s="204"/>
      <c r="DK19" s="204"/>
      <c r="DL19" s="204"/>
      <c r="DM19" s="204"/>
      <c r="DN19" s="204"/>
      <c r="DO19" s="204"/>
      <c r="DP19" s="204"/>
      <c r="DQ19" s="204"/>
      <c r="DR19" s="204"/>
      <c r="DS19" s="204"/>
      <c r="DT19" s="204"/>
      <c r="DU19" s="204"/>
      <c r="DV19" s="204"/>
      <c r="DW19" s="204"/>
      <c r="DX19" s="204"/>
      <c r="DY19" s="204"/>
      <c r="DZ19" s="204"/>
      <c r="EA19" s="204"/>
      <c r="EB19" s="204"/>
      <c r="EC19" s="204"/>
      <c r="ED19" s="204"/>
      <c r="EE19" s="204"/>
      <c r="EF19" s="204"/>
      <c r="EG19" s="204"/>
      <c r="EH19" s="250">
        <f>AD19+AH19+AL19+AP19+AT19+AX19+BB19+BF19+BJ19+BN19+BR19+BV19+BZ19+CD19+CH19+CL19+CP19+CT19+CX19+DA19+DD19+DG19+DJ19+DM19+DP19+DS19+DV19+DY19+EB19+EE19</f>
        <v>0</v>
      </c>
      <c r="EI19" s="250">
        <f t="shared" si="8"/>
        <v>0</v>
      </c>
      <c r="EJ19" s="250">
        <f t="shared" si="8"/>
        <v>0</v>
      </c>
      <c r="EK19" s="204">
        <f t="shared" si="10"/>
        <v>0</v>
      </c>
      <c r="EL19" s="204">
        <f t="shared" si="11"/>
        <v>0</v>
      </c>
      <c r="EM19" s="204">
        <f t="shared" si="12"/>
        <v>2497623.48</v>
      </c>
      <c r="EN19" s="204">
        <f t="shared" si="13"/>
        <v>0</v>
      </c>
      <c r="EO19" s="204">
        <f t="shared" si="14"/>
        <v>0</v>
      </c>
      <c r="EP19" s="204"/>
      <c r="EQ19" s="55">
        <v>44817</v>
      </c>
      <c r="ER19" s="55">
        <v>45031</v>
      </c>
      <c r="ES19" s="18"/>
      <c r="ET19" s="18"/>
      <c r="EU19" s="18"/>
      <c r="EV19" s="18"/>
      <c r="EW19" s="18"/>
      <c r="EX19" s="18"/>
      <c r="EY19" s="331">
        <f t="shared" si="15"/>
        <v>0</v>
      </c>
      <c r="EZ19" s="332">
        <v>0</v>
      </c>
      <c r="FA19" s="336"/>
      <c r="FB19" s="336"/>
      <c r="FC19" s="337">
        <f>(AC19+EH19-EI19)/Z19</f>
        <v>0</v>
      </c>
      <c r="FD19" s="338" t="s">
        <v>1373</v>
      </c>
      <c r="FE19" s="47" t="s">
        <v>235</v>
      </c>
      <c r="FF19" s="47"/>
      <c r="FG19" s="47" t="s">
        <v>177</v>
      </c>
      <c r="FH19" s="47" t="s">
        <v>303</v>
      </c>
      <c r="FI19" s="25">
        <v>5408</v>
      </c>
      <c r="FJ19" s="51" t="s">
        <v>1168</v>
      </c>
    </row>
    <row r="20" spans="1:166" s="214" customFormat="1" ht="80.25" hidden="1" customHeight="1">
      <c r="A20" s="60"/>
      <c r="B20" s="211"/>
      <c r="C20" s="212"/>
      <c r="D20" s="61"/>
      <c r="E20" s="61"/>
      <c r="F20" s="62">
        <v>121830</v>
      </c>
      <c r="G20" s="63"/>
      <c r="H20" s="64">
        <f>267000000-100000000</f>
        <v>167000000</v>
      </c>
      <c r="I20" s="64">
        <f>267000000-100000000</f>
        <v>167000000</v>
      </c>
      <c r="J20" s="63" t="s">
        <v>1012</v>
      </c>
      <c r="K20" s="63"/>
      <c r="L20" s="63"/>
      <c r="M20" s="62"/>
      <c r="N20" s="63"/>
      <c r="O20" s="62"/>
      <c r="P20" s="65"/>
      <c r="Q20" s="66"/>
      <c r="R20" s="67"/>
      <c r="S20" s="67"/>
      <c r="T20" s="67"/>
      <c r="U20" s="67"/>
      <c r="V20" s="68"/>
      <c r="W20" s="68"/>
      <c r="X20" s="213"/>
      <c r="Y20" s="213"/>
      <c r="Z20" s="213">
        <f>+Z16+Z17+Z18+Z19</f>
        <v>210596769.22</v>
      </c>
      <c r="AA20" s="213">
        <f>+AA16+AA17+AA18+AA19</f>
        <v>-210596769.22</v>
      </c>
      <c r="AB20" s="213">
        <f>+AB16+AB17+AB18+AB19</f>
        <v>0</v>
      </c>
      <c r="AC20" s="213">
        <f>AC16+AC17+AC18+AC19</f>
        <v>0</v>
      </c>
      <c r="AD20" s="213"/>
      <c r="AE20" s="213"/>
      <c r="AF20" s="213"/>
      <c r="AG20" s="213"/>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c r="BI20" s="213"/>
      <c r="BJ20" s="213"/>
      <c r="BK20" s="213"/>
      <c r="BL20" s="213"/>
      <c r="BM20" s="213"/>
      <c r="BN20" s="213"/>
      <c r="BO20" s="213"/>
      <c r="BP20" s="213"/>
      <c r="BQ20" s="213"/>
      <c r="BR20" s="213"/>
      <c r="BS20" s="213"/>
      <c r="BT20" s="213"/>
      <c r="BU20" s="213"/>
      <c r="BV20" s="213"/>
      <c r="BW20" s="213"/>
      <c r="BX20" s="213"/>
      <c r="BY20" s="213"/>
      <c r="BZ20" s="213"/>
      <c r="CA20" s="213"/>
      <c r="CB20" s="213"/>
      <c r="CC20" s="213"/>
      <c r="CD20" s="213"/>
      <c r="CE20" s="213"/>
      <c r="CF20" s="213"/>
      <c r="CG20" s="213"/>
      <c r="CH20" s="213"/>
      <c r="CI20" s="213"/>
      <c r="CJ20" s="213"/>
      <c r="CK20" s="213"/>
      <c r="CL20" s="213"/>
      <c r="CM20" s="213"/>
      <c r="CN20" s="213"/>
      <c r="CO20" s="213"/>
      <c r="CP20" s="213"/>
      <c r="CQ20" s="213"/>
      <c r="CR20" s="213"/>
      <c r="CS20" s="213"/>
      <c r="CT20" s="213"/>
      <c r="CU20" s="213"/>
      <c r="CV20" s="213"/>
      <c r="CW20" s="213"/>
      <c r="CX20" s="213"/>
      <c r="CY20" s="213"/>
      <c r="CZ20" s="213"/>
      <c r="DA20" s="213"/>
      <c r="DB20" s="213"/>
      <c r="DC20" s="213"/>
      <c r="DD20" s="213"/>
      <c r="DE20" s="213"/>
      <c r="DF20" s="213"/>
      <c r="DG20" s="213"/>
      <c r="DH20" s="213"/>
      <c r="DI20" s="213"/>
      <c r="DJ20" s="213"/>
      <c r="DK20" s="213"/>
      <c r="DL20" s="213"/>
      <c r="DM20" s="213"/>
      <c r="DN20" s="213"/>
      <c r="DO20" s="213"/>
      <c r="DP20" s="213"/>
      <c r="DQ20" s="213"/>
      <c r="DR20" s="213"/>
      <c r="DS20" s="213"/>
      <c r="DT20" s="213"/>
      <c r="DU20" s="213"/>
      <c r="DV20" s="213"/>
      <c r="DW20" s="213"/>
      <c r="DX20" s="213"/>
      <c r="DY20" s="213"/>
      <c r="DZ20" s="213"/>
      <c r="EA20" s="213"/>
      <c r="EB20" s="213"/>
      <c r="EC20" s="213"/>
      <c r="ED20" s="213"/>
      <c r="EE20" s="213"/>
      <c r="EF20" s="213"/>
      <c r="EG20" s="213"/>
      <c r="EH20" s="213" t="e">
        <f>+EH16+EH17+#REF!+#REF!+EH18+EH19</f>
        <v>#REF!</v>
      </c>
      <c r="EI20" s="213" t="e">
        <f>+EI16+EI17+#REF!+#REF!+EI18+EI19</f>
        <v>#REF!</v>
      </c>
      <c r="EJ20" s="213" t="e">
        <f>+EJ16+EJ17+#REF!+#REF!+EJ18+EJ19</f>
        <v>#REF!</v>
      </c>
      <c r="EK20" s="213" t="e">
        <f>+EK16+EK17+#REF!+#REF!+EK18+EK19</f>
        <v>#REF!</v>
      </c>
      <c r="EL20" s="213" t="e">
        <f>+EL16+EL17+#REF!+#REF!+EL18+EL19</f>
        <v>#REF!</v>
      </c>
      <c r="EM20" s="213" t="e">
        <f>+EM16+EM17+#REF!+#REF!+EM18+EM19</f>
        <v>#REF!</v>
      </c>
      <c r="EN20" s="213" t="e">
        <f>+EN16+EN17+#REF!+#REF!+EN18+EN19</f>
        <v>#REF!</v>
      </c>
      <c r="EO20" s="213" t="e">
        <f>+EO16+EO17+#REF!+#REF!+EO18+EO19</f>
        <v>#REF!</v>
      </c>
      <c r="EP20" s="255"/>
      <c r="EQ20" s="216"/>
      <c r="ER20" s="216"/>
      <c r="ES20" s="63"/>
      <c r="ET20" s="63"/>
      <c r="EU20" s="63"/>
      <c r="EV20" s="63"/>
      <c r="EW20" s="63"/>
      <c r="EX20" s="63"/>
      <c r="EY20" s="63"/>
      <c r="EZ20" s="339">
        <f>((EZ18*Z18)+(EZ19*Z19)+(EZ17*Z17)+(EZ16*Z16))/Z20</f>
        <v>0.98814025737787625</v>
      </c>
      <c r="FA20" s="339" t="e">
        <f>(FA16*X16)+(FA17*X17)+(#REF!+#REF!)+(#REF!+#REF!)+(FA18+X18)+(FA19+X19)/X20</f>
        <v>#REF!</v>
      </c>
      <c r="FB20" s="339" t="e">
        <f>(FB16*Y16)+(FB17*Y17)+(#REF!+#REF!)+(#REF!+#REF!)+(FB18+Y18)+(FB19+Y19)/Y20</f>
        <v>#REF!</v>
      </c>
      <c r="FC20" s="339"/>
      <c r="FD20" s="340" t="s">
        <v>147</v>
      </c>
      <c r="FE20" s="62"/>
      <c r="FF20" s="62"/>
      <c r="FG20" s="62"/>
      <c r="FH20" s="62"/>
      <c r="FI20" s="69"/>
      <c r="FJ20" s="62" t="s">
        <v>1195</v>
      </c>
    </row>
    <row r="21" spans="1:166" ht="116.25" hidden="1" customHeight="1">
      <c r="A21" s="316"/>
      <c r="B21" s="294" t="s">
        <v>960</v>
      </c>
      <c r="C21" s="294" t="s">
        <v>960</v>
      </c>
      <c r="D21" s="295"/>
      <c r="E21" s="387"/>
      <c r="F21" s="290">
        <v>121807</v>
      </c>
      <c r="G21" s="275" t="s">
        <v>990</v>
      </c>
      <c r="H21" s="297"/>
      <c r="I21" s="297"/>
      <c r="J21" s="18" t="s">
        <v>230</v>
      </c>
      <c r="K21" s="18" t="s">
        <v>992</v>
      </c>
      <c r="L21" s="18"/>
      <c r="M21" s="47"/>
      <c r="N21" s="18"/>
      <c r="O21" s="47"/>
      <c r="P21" s="20" t="s">
        <v>991</v>
      </c>
      <c r="Q21" s="21"/>
      <c r="R21" s="22"/>
      <c r="S21" s="22"/>
      <c r="T21" s="22"/>
      <c r="U21" s="22"/>
      <c r="V21" s="48"/>
      <c r="W21" s="48"/>
      <c r="X21" s="23"/>
      <c r="Y21" s="23">
        <f t="shared" si="4"/>
        <v>0</v>
      </c>
      <c r="Z21" s="23"/>
      <c r="AA21" s="204">
        <f t="shared" si="9"/>
        <v>0</v>
      </c>
      <c r="AB21" s="204"/>
      <c r="AC21" s="204"/>
      <c r="AD21" s="204"/>
      <c r="AE21" s="204"/>
      <c r="AF21" s="50"/>
      <c r="AG21" s="253"/>
      <c r="AH21" s="204"/>
      <c r="AI21" s="204"/>
      <c r="AJ21" s="204"/>
      <c r="AK21" s="253"/>
      <c r="AL21" s="50"/>
      <c r="AM21" s="254"/>
      <c r="AN21" s="204"/>
      <c r="AO21" s="253"/>
      <c r="AP21" s="204"/>
      <c r="AQ21" s="204"/>
      <c r="AR21" s="204"/>
      <c r="AS21" s="253"/>
      <c r="AT21" s="204"/>
      <c r="AU21" s="204"/>
      <c r="AV21" s="204"/>
      <c r="AW21" s="249"/>
      <c r="AX21" s="204"/>
      <c r="AY21" s="204"/>
      <c r="AZ21" s="204"/>
      <c r="BA21" s="204"/>
      <c r="BB21" s="204"/>
      <c r="BC21" s="204"/>
      <c r="BD21" s="204"/>
      <c r="BE21" s="204"/>
      <c r="BF21" s="204"/>
      <c r="BG21" s="204"/>
      <c r="BH21" s="204"/>
      <c r="BI21" s="204"/>
      <c r="BJ21" s="204"/>
      <c r="BK21" s="204"/>
      <c r="BL21" s="204"/>
      <c r="BM21" s="204"/>
      <c r="BN21" s="204"/>
      <c r="BO21" s="204"/>
      <c r="BP21" s="204"/>
      <c r="BQ21" s="204"/>
      <c r="BR21" s="204"/>
      <c r="BS21" s="204"/>
      <c r="BT21" s="204"/>
      <c r="BU21" s="204"/>
      <c r="BV21" s="204"/>
      <c r="BW21" s="204"/>
      <c r="BX21" s="204"/>
      <c r="BY21" s="204"/>
      <c r="BZ21" s="204"/>
      <c r="CA21" s="204"/>
      <c r="CB21" s="204"/>
      <c r="CC21" s="204"/>
      <c r="CD21" s="204"/>
      <c r="CE21" s="204"/>
      <c r="CF21" s="204"/>
      <c r="CG21" s="204"/>
      <c r="CH21" s="204"/>
      <c r="CI21" s="204"/>
      <c r="CJ21" s="204"/>
      <c r="CK21" s="204"/>
      <c r="CL21" s="204"/>
      <c r="CM21" s="204"/>
      <c r="CN21" s="204"/>
      <c r="CO21" s="204"/>
      <c r="CP21" s="204"/>
      <c r="CQ21" s="204"/>
      <c r="CR21" s="204"/>
      <c r="CS21" s="204"/>
      <c r="CT21" s="204"/>
      <c r="CU21" s="204"/>
      <c r="CV21" s="204"/>
      <c r="CW21" s="204"/>
      <c r="CX21" s="204"/>
      <c r="CY21" s="204"/>
      <c r="CZ21" s="204"/>
      <c r="DA21" s="204"/>
      <c r="DB21" s="204"/>
      <c r="DC21" s="204"/>
      <c r="DD21" s="204"/>
      <c r="DE21" s="204"/>
      <c r="DF21" s="204"/>
      <c r="DG21" s="204"/>
      <c r="DH21" s="204"/>
      <c r="DI21" s="204"/>
      <c r="DJ21" s="204"/>
      <c r="DK21" s="204"/>
      <c r="DL21" s="204"/>
      <c r="DM21" s="204"/>
      <c r="DN21" s="204"/>
      <c r="DO21" s="204"/>
      <c r="DP21" s="204"/>
      <c r="DQ21" s="204"/>
      <c r="DR21" s="204"/>
      <c r="DS21" s="204"/>
      <c r="DT21" s="204"/>
      <c r="DU21" s="204"/>
      <c r="DV21" s="204"/>
      <c r="DW21" s="204"/>
      <c r="DX21" s="204"/>
      <c r="DY21" s="204"/>
      <c r="DZ21" s="204"/>
      <c r="EA21" s="204"/>
      <c r="EB21" s="204"/>
      <c r="EC21" s="204"/>
      <c r="ED21" s="204"/>
      <c r="EE21" s="204"/>
      <c r="EF21" s="204"/>
      <c r="EG21" s="204"/>
      <c r="EH21" s="250">
        <f>AD21+AH21+AL21+AP21+AT21+AX21+BB21+BF21+BJ21+BN21+BR21+BV21+BZ21+CD21+CH21+CL21+CP21+CT21+CX21+DA21+DD21+DG21+DJ21+DM21+DP21+DS21+DV21+DY21+EB21+EE21</f>
        <v>0</v>
      </c>
      <c r="EI21" s="250">
        <f t="shared" si="8"/>
        <v>0</v>
      </c>
      <c r="EJ21" s="250">
        <f t="shared" si="8"/>
        <v>0</v>
      </c>
      <c r="EK21" s="204">
        <f t="shared" si="10"/>
        <v>0</v>
      </c>
      <c r="EL21" s="204">
        <f t="shared" si="11"/>
        <v>0</v>
      </c>
      <c r="EM21" s="204">
        <f t="shared" si="12"/>
        <v>0</v>
      </c>
      <c r="EN21" s="204">
        <f t="shared" si="13"/>
        <v>0</v>
      </c>
      <c r="EO21" s="204">
        <f t="shared" si="14"/>
        <v>0</v>
      </c>
      <c r="EP21" s="204"/>
      <c r="EQ21" s="55"/>
      <c r="ER21" s="55"/>
      <c r="ES21" s="18"/>
      <c r="ET21" s="18"/>
      <c r="EU21" s="18"/>
      <c r="EV21" s="18"/>
      <c r="EW21" s="18"/>
      <c r="EX21" s="18"/>
      <c r="EY21" s="331">
        <v>0</v>
      </c>
      <c r="EZ21" s="332">
        <v>0</v>
      </c>
      <c r="FA21" s="336"/>
      <c r="FB21" s="336"/>
      <c r="FC21" s="337">
        <v>0</v>
      </c>
      <c r="FD21" s="338" t="s">
        <v>72</v>
      </c>
      <c r="FE21" s="47"/>
      <c r="FF21" s="47"/>
      <c r="FG21" s="47"/>
      <c r="FH21" s="47"/>
      <c r="FI21" s="25"/>
      <c r="FJ21" s="47"/>
    </row>
    <row r="22" spans="1:166" ht="132.75" hidden="1" customHeight="1">
      <c r="A22" s="207">
        <v>11</v>
      </c>
      <c r="B22" s="294" t="s">
        <v>960</v>
      </c>
      <c r="C22" s="294" t="s">
        <v>960</v>
      </c>
      <c r="D22" s="293"/>
      <c r="E22" s="388"/>
      <c r="F22" s="290">
        <v>121807</v>
      </c>
      <c r="G22" s="275" t="s">
        <v>1172</v>
      </c>
      <c r="H22" s="297"/>
      <c r="I22" s="297"/>
      <c r="J22" s="18" t="s">
        <v>230</v>
      </c>
      <c r="K22" s="18" t="s">
        <v>179</v>
      </c>
      <c r="L22" s="18" t="s">
        <v>679</v>
      </c>
      <c r="M22" s="47" t="s">
        <v>180</v>
      </c>
      <c r="N22" s="18" t="s">
        <v>739</v>
      </c>
      <c r="O22" s="47">
        <v>5567217727</v>
      </c>
      <c r="P22" s="207" t="s">
        <v>1171</v>
      </c>
      <c r="Q22" s="21"/>
      <c r="R22" s="22"/>
      <c r="S22" s="22"/>
      <c r="T22" s="22"/>
      <c r="U22" s="22"/>
      <c r="V22" s="48"/>
      <c r="W22" s="48" t="s">
        <v>1173</v>
      </c>
      <c r="X22" s="23">
        <v>2824766.46</v>
      </c>
      <c r="Y22" s="23">
        <f t="shared" si="4"/>
        <v>3276729.0935999998</v>
      </c>
      <c r="Z22" s="23">
        <v>3276729.09</v>
      </c>
      <c r="AA22" s="204">
        <f t="shared" si="9"/>
        <v>-3276729.09</v>
      </c>
      <c r="AB22" s="204">
        <v>983018.73</v>
      </c>
      <c r="AC22" s="204">
        <v>983018.73</v>
      </c>
      <c r="AD22" s="204">
        <v>991253.27</v>
      </c>
      <c r="AE22" s="204">
        <v>297375.98</v>
      </c>
      <c r="AF22" s="50">
        <f>AD22-AE22</f>
        <v>693877.29</v>
      </c>
      <c r="AG22" s="253">
        <v>45001</v>
      </c>
      <c r="AH22" s="204">
        <v>538321.04</v>
      </c>
      <c r="AI22" s="204">
        <v>161496.31</v>
      </c>
      <c r="AJ22" s="204">
        <f>AH22-AI22</f>
        <v>376824.73000000004</v>
      </c>
      <c r="AK22" s="253"/>
      <c r="AL22" s="204">
        <v>1127023.33</v>
      </c>
      <c r="AM22" s="204">
        <v>524146.44</v>
      </c>
      <c r="AN22" s="204">
        <f>AL22-AM22</f>
        <v>602876.89000000013</v>
      </c>
      <c r="AO22" s="253"/>
      <c r="AP22" s="204">
        <v>51232.43</v>
      </c>
      <c r="AQ22" s="204">
        <v>0</v>
      </c>
      <c r="AR22" s="204">
        <f>AP22-AQ22</f>
        <v>51232.43</v>
      </c>
      <c r="AS22" s="253" t="s">
        <v>305</v>
      </c>
      <c r="AT22" s="204"/>
      <c r="AU22" s="204"/>
      <c r="AV22" s="204"/>
      <c r="AW22" s="249"/>
      <c r="AX22" s="204"/>
      <c r="AY22" s="204"/>
      <c r="AZ22" s="204"/>
      <c r="BA22" s="204"/>
      <c r="BB22" s="204"/>
      <c r="BC22" s="204"/>
      <c r="BD22" s="204"/>
      <c r="BE22" s="204"/>
      <c r="BF22" s="204"/>
      <c r="BG22" s="204"/>
      <c r="BH22" s="204"/>
      <c r="BI22" s="204"/>
      <c r="BJ22" s="204"/>
      <c r="BK22" s="204"/>
      <c r="BL22" s="204"/>
      <c r="BM22" s="204"/>
      <c r="BN22" s="204"/>
      <c r="BO22" s="204"/>
      <c r="BP22" s="204"/>
      <c r="BQ22" s="204"/>
      <c r="BR22" s="204"/>
      <c r="BS22" s="204"/>
      <c r="BT22" s="204"/>
      <c r="BU22" s="204"/>
      <c r="BV22" s="204"/>
      <c r="BW22" s="204"/>
      <c r="BX22" s="204"/>
      <c r="BY22" s="204"/>
      <c r="BZ22" s="204"/>
      <c r="CA22" s="204"/>
      <c r="CB22" s="204"/>
      <c r="CC22" s="204"/>
      <c r="CD22" s="204"/>
      <c r="CE22" s="204"/>
      <c r="CF22" s="204"/>
      <c r="CG22" s="204"/>
      <c r="CH22" s="204"/>
      <c r="CI22" s="204"/>
      <c r="CJ22" s="204"/>
      <c r="CK22" s="204"/>
      <c r="CL22" s="204"/>
      <c r="CM22" s="204"/>
      <c r="CN22" s="204"/>
      <c r="CO22" s="204"/>
      <c r="CP22" s="204"/>
      <c r="CQ22" s="204"/>
      <c r="CR22" s="204"/>
      <c r="CS22" s="204"/>
      <c r="CT22" s="204"/>
      <c r="CU22" s="204"/>
      <c r="CV22" s="204"/>
      <c r="CW22" s="204"/>
      <c r="CX22" s="204"/>
      <c r="CY22" s="204"/>
      <c r="CZ22" s="204"/>
      <c r="DA22" s="204"/>
      <c r="DB22" s="204"/>
      <c r="DC22" s="204"/>
      <c r="DD22" s="204"/>
      <c r="DE22" s="204"/>
      <c r="DF22" s="204"/>
      <c r="DG22" s="204"/>
      <c r="DH22" s="204"/>
      <c r="DI22" s="204"/>
      <c r="DJ22" s="204"/>
      <c r="DK22" s="204"/>
      <c r="DL22" s="204"/>
      <c r="DM22" s="204"/>
      <c r="DN22" s="204"/>
      <c r="DO22" s="204"/>
      <c r="DP22" s="204"/>
      <c r="DQ22" s="204"/>
      <c r="DR22" s="204"/>
      <c r="DS22" s="204"/>
      <c r="DT22" s="204"/>
      <c r="DU22" s="204"/>
      <c r="DV22" s="204"/>
      <c r="DW22" s="204"/>
      <c r="DX22" s="204"/>
      <c r="DY22" s="204"/>
      <c r="DZ22" s="204"/>
      <c r="EA22" s="204"/>
      <c r="EB22" s="204"/>
      <c r="EC22" s="204"/>
      <c r="ED22" s="204"/>
      <c r="EE22" s="204"/>
      <c r="EF22" s="204"/>
      <c r="EG22" s="204"/>
      <c r="EH22" s="250">
        <f>AD22+AH22+AL22+AP22+AT22+AX22+BB22+BF22+BJ22+BN22+BR22+BV22+BZ22+CD22+CH22+CL22+CP22+CT22+CX22+DA22+DD22+DG22+DJ22+DM22+DP22+DS22+DV22+DY22+EB22+EE22</f>
        <v>2707830.0700000003</v>
      </c>
      <c r="EI22" s="250">
        <f t="shared" si="8"/>
        <v>983018.73</v>
      </c>
      <c r="EJ22" s="250">
        <f t="shared" si="8"/>
        <v>1724811.34</v>
      </c>
      <c r="EK22" s="204">
        <f t="shared" si="10"/>
        <v>2707830.0700000003</v>
      </c>
      <c r="EL22" s="204">
        <f t="shared" si="11"/>
        <v>0</v>
      </c>
      <c r="EM22" s="255">
        <f t="shared" si="12"/>
        <v>568899.01999999955</v>
      </c>
      <c r="EN22" s="204">
        <f t="shared" si="13"/>
        <v>983018.73000000021</v>
      </c>
      <c r="EO22" s="204">
        <f t="shared" si="14"/>
        <v>-2707830.0700000003</v>
      </c>
      <c r="EP22" s="204"/>
      <c r="EQ22" s="55">
        <v>44938</v>
      </c>
      <c r="ER22" s="55">
        <v>45015</v>
      </c>
      <c r="ES22" s="18"/>
      <c r="ET22" s="18"/>
      <c r="EU22" s="18"/>
      <c r="EV22" s="18"/>
      <c r="EW22" s="18"/>
      <c r="EX22" s="18"/>
      <c r="EY22" s="331">
        <f t="shared" si="15"/>
        <v>0.82638204002394366</v>
      </c>
      <c r="EZ22" s="332">
        <v>1</v>
      </c>
      <c r="FA22" s="336"/>
      <c r="FB22" s="336"/>
      <c r="FC22" s="337">
        <f>(AC22+EH22-EI22)/Z22</f>
        <v>0.82638204002394366</v>
      </c>
      <c r="FD22" s="338" t="s">
        <v>147</v>
      </c>
      <c r="FE22" s="47" t="s">
        <v>265</v>
      </c>
      <c r="FF22" s="47"/>
      <c r="FG22" s="47" t="s">
        <v>150</v>
      </c>
      <c r="FH22" s="47" t="s">
        <v>169</v>
      </c>
      <c r="FI22" s="25">
        <v>600</v>
      </c>
      <c r="FJ22" s="51" t="s">
        <v>962</v>
      </c>
    </row>
    <row r="23" spans="1:166" s="214" customFormat="1" ht="80.25" hidden="1" customHeight="1">
      <c r="A23" s="60"/>
      <c r="B23" s="211"/>
      <c r="C23" s="212"/>
      <c r="D23" s="61"/>
      <c r="E23" s="61"/>
      <c r="F23" s="62">
        <v>121807</v>
      </c>
      <c r="G23" s="63"/>
      <c r="H23" s="64">
        <v>78500000</v>
      </c>
      <c r="I23" s="64">
        <v>78500000</v>
      </c>
      <c r="J23" s="63" t="s">
        <v>1012</v>
      </c>
      <c r="K23" s="63"/>
      <c r="L23" s="63"/>
      <c r="M23" s="62"/>
      <c r="N23" s="63"/>
      <c r="O23" s="62"/>
      <c r="P23" s="65"/>
      <c r="Q23" s="66"/>
      <c r="R23" s="67"/>
      <c r="S23" s="67"/>
      <c r="T23" s="67"/>
      <c r="U23" s="67"/>
      <c r="V23" s="68"/>
      <c r="W23" s="68"/>
      <c r="X23" s="213"/>
      <c r="Y23" s="213"/>
      <c r="Z23" s="213">
        <f>+Z21+Z22</f>
        <v>3276729.09</v>
      </c>
      <c r="AA23" s="213">
        <f>+AA21+AA22</f>
        <v>-3276729.09</v>
      </c>
      <c r="AB23" s="213">
        <f>+AB21+AB22</f>
        <v>983018.73</v>
      </c>
      <c r="AC23" s="213">
        <f>+AC21+AC22</f>
        <v>983018.73</v>
      </c>
      <c r="AD23" s="255"/>
      <c r="AE23" s="255"/>
      <c r="AF23" s="256"/>
      <c r="AG23" s="257"/>
      <c r="AH23" s="255"/>
      <c r="AI23" s="255"/>
      <c r="AJ23" s="255"/>
      <c r="AK23" s="257"/>
      <c r="AL23" s="256"/>
      <c r="AM23" s="258"/>
      <c r="AN23" s="255"/>
      <c r="AO23" s="257"/>
      <c r="AP23" s="255"/>
      <c r="AQ23" s="255"/>
      <c r="AR23" s="255"/>
      <c r="AS23" s="257"/>
      <c r="AT23" s="255"/>
      <c r="AU23" s="255"/>
      <c r="AV23" s="255"/>
      <c r="AW23" s="259"/>
      <c r="AX23" s="255"/>
      <c r="AY23" s="255"/>
      <c r="AZ23" s="255"/>
      <c r="BA23" s="255"/>
      <c r="BB23" s="255"/>
      <c r="BC23" s="255"/>
      <c r="BD23" s="255"/>
      <c r="BE23" s="255"/>
      <c r="BF23" s="255"/>
      <c r="BG23" s="255"/>
      <c r="BH23" s="255"/>
      <c r="BI23" s="255"/>
      <c r="BJ23" s="255"/>
      <c r="BK23" s="255"/>
      <c r="BL23" s="255"/>
      <c r="BM23" s="255"/>
      <c r="BN23" s="255"/>
      <c r="BO23" s="255"/>
      <c r="BP23" s="255"/>
      <c r="BQ23" s="255"/>
      <c r="BR23" s="255"/>
      <c r="BS23" s="255"/>
      <c r="BT23" s="255"/>
      <c r="BU23" s="255"/>
      <c r="BV23" s="255"/>
      <c r="BW23" s="255"/>
      <c r="BX23" s="255"/>
      <c r="BY23" s="255"/>
      <c r="BZ23" s="255"/>
      <c r="CA23" s="255"/>
      <c r="CB23" s="255"/>
      <c r="CC23" s="255"/>
      <c r="CD23" s="255"/>
      <c r="CE23" s="255"/>
      <c r="CF23" s="255"/>
      <c r="CG23" s="255"/>
      <c r="CH23" s="255"/>
      <c r="CI23" s="255"/>
      <c r="CJ23" s="255"/>
      <c r="CK23" s="255"/>
      <c r="CL23" s="255"/>
      <c r="CM23" s="255"/>
      <c r="CN23" s="255"/>
      <c r="CO23" s="255"/>
      <c r="CP23" s="255"/>
      <c r="CQ23" s="255"/>
      <c r="CR23" s="255"/>
      <c r="CS23" s="255"/>
      <c r="CT23" s="255"/>
      <c r="CU23" s="255"/>
      <c r="CV23" s="255"/>
      <c r="CW23" s="255"/>
      <c r="CX23" s="255"/>
      <c r="CY23" s="255"/>
      <c r="CZ23" s="255"/>
      <c r="DA23" s="255"/>
      <c r="DB23" s="255"/>
      <c r="DC23" s="255"/>
      <c r="DD23" s="255"/>
      <c r="DE23" s="255"/>
      <c r="DF23" s="255"/>
      <c r="DG23" s="255"/>
      <c r="DH23" s="255"/>
      <c r="DI23" s="255"/>
      <c r="DJ23" s="255"/>
      <c r="DK23" s="255"/>
      <c r="DL23" s="255"/>
      <c r="DM23" s="255"/>
      <c r="DN23" s="255"/>
      <c r="DO23" s="255"/>
      <c r="DP23" s="255"/>
      <c r="DQ23" s="255"/>
      <c r="DR23" s="255"/>
      <c r="DS23" s="255"/>
      <c r="DT23" s="255"/>
      <c r="DU23" s="255"/>
      <c r="DV23" s="255"/>
      <c r="DW23" s="255"/>
      <c r="DX23" s="255"/>
      <c r="DY23" s="255"/>
      <c r="DZ23" s="255"/>
      <c r="EA23" s="255"/>
      <c r="EB23" s="255"/>
      <c r="EC23" s="255"/>
      <c r="ED23" s="255"/>
      <c r="EE23" s="255"/>
      <c r="EF23" s="255"/>
      <c r="EG23" s="255"/>
      <c r="EH23" s="213">
        <f t="shared" ref="EH23:EO23" si="17">+EH21+EH22</f>
        <v>2707830.0700000003</v>
      </c>
      <c r="EI23" s="213">
        <f t="shared" si="17"/>
        <v>983018.73</v>
      </c>
      <c r="EJ23" s="213">
        <f t="shared" si="17"/>
        <v>1724811.34</v>
      </c>
      <c r="EK23" s="213">
        <f t="shared" si="17"/>
        <v>2707830.0700000003</v>
      </c>
      <c r="EL23" s="213">
        <f t="shared" si="17"/>
        <v>0</v>
      </c>
      <c r="EM23" s="213">
        <f t="shared" si="17"/>
        <v>568899.01999999955</v>
      </c>
      <c r="EN23" s="213">
        <f t="shared" si="17"/>
        <v>983018.73000000021</v>
      </c>
      <c r="EO23" s="213">
        <f t="shared" si="17"/>
        <v>-2707830.0700000003</v>
      </c>
      <c r="EP23" s="255"/>
      <c r="EQ23" s="216"/>
      <c r="ER23" s="216"/>
      <c r="ES23" s="63"/>
      <c r="ET23" s="63"/>
      <c r="EU23" s="63"/>
      <c r="EV23" s="63"/>
      <c r="EW23" s="63"/>
      <c r="EX23" s="63"/>
      <c r="EY23" s="63">
        <v>0</v>
      </c>
      <c r="EZ23" s="339">
        <f>(EZ21*Z21)+(EZ22*Z22)/Z23</f>
        <v>1</v>
      </c>
      <c r="FA23" s="341">
        <f>(FA21*AA21)+(FA22*AA22)/AA23</f>
        <v>0</v>
      </c>
      <c r="FB23" s="341">
        <f>(FB21*AB21)+(FB22*AB22)/AB23</f>
        <v>0</v>
      </c>
      <c r="FC23" s="339">
        <f>((FC21*Z21)+(FC22*Z22))/Z23</f>
        <v>0.82638204002394366</v>
      </c>
      <c r="FD23" s="340" t="s">
        <v>147</v>
      </c>
      <c r="FE23" s="62"/>
      <c r="FF23" s="62"/>
      <c r="FG23" s="62"/>
      <c r="FH23" s="62"/>
      <c r="FI23" s="69"/>
      <c r="FJ23" s="62" t="s">
        <v>667</v>
      </c>
    </row>
    <row r="24" spans="1:166" ht="123.75" hidden="1" customHeight="1">
      <c r="A24" s="15"/>
      <c r="B24" s="5" t="s">
        <v>975</v>
      </c>
      <c r="C24" s="5" t="s">
        <v>975</v>
      </c>
      <c r="D24" s="295" t="s">
        <v>1262</v>
      </c>
      <c r="E24" s="295"/>
      <c r="F24" s="20">
        <v>121531</v>
      </c>
      <c r="G24" s="275" t="s">
        <v>993</v>
      </c>
      <c r="H24" s="297"/>
      <c r="I24" s="297"/>
      <c r="J24" s="18" t="s">
        <v>230</v>
      </c>
      <c r="K24" s="18"/>
      <c r="L24" s="18"/>
      <c r="M24" s="47"/>
      <c r="N24" s="18"/>
      <c r="O24" s="47"/>
      <c r="P24" s="20"/>
      <c r="Q24" s="21"/>
      <c r="R24" s="22"/>
      <c r="S24" s="22"/>
      <c r="T24" s="22"/>
      <c r="U24" s="22"/>
      <c r="V24" s="48"/>
      <c r="W24" s="48"/>
      <c r="X24" s="23"/>
      <c r="Y24" s="23">
        <f t="shared" si="4"/>
        <v>0</v>
      </c>
      <c r="Z24" s="23"/>
      <c r="AA24" s="204">
        <f t="shared" si="9"/>
        <v>0</v>
      </c>
      <c r="AB24" s="204"/>
      <c r="AC24" s="204"/>
      <c r="AD24" s="204"/>
      <c r="AE24" s="204"/>
      <c r="AF24" s="50"/>
      <c r="AG24" s="253"/>
      <c r="AH24" s="204"/>
      <c r="AI24" s="204"/>
      <c r="AJ24" s="204"/>
      <c r="AK24" s="253"/>
      <c r="AL24" s="50"/>
      <c r="AM24" s="254"/>
      <c r="AN24" s="204"/>
      <c r="AO24" s="253"/>
      <c r="AP24" s="204"/>
      <c r="AQ24" s="204"/>
      <c r="AR24" s="204"/>
      <c r="AS24" s="253"/>
      <c r="AT24" s="204"/>
      <c r="AU24" s="204"/>
      <c r="AV24" s="204"/>
      <c r="AW24" s="249"/>
      <c r="AX24" s="204"/>
      <c r="AY24" s="204"/>
      <c r="AZ24" s="204"/>
      <c r="BA24" s="204"/>
      <c r="BB24" s="204"/>
      <c r="BC24" s="204"/>
      <c r="BD24" s="204"/>
      <c r="BE24" s="204"/>
      <c r="BF24" s="204"/>
      <c r="BG24" s="204"/>
      <c r="BH24" s="204"/>
      <c r="BI24" s="204"/>
      <c r="BJ24" s="204"/>
      <c r="BK24" s="204"/>
      <c r="BL24" s="204"/>
      <c r="BM24" s="204"/>
      <c r="BN24" s="204"/>
      <c r="BO24" s="204"/>
      <c r="BP24" s="204"/>
      <c r="BQ24" s="204"/>
      <c r="BR24" s="204"/>
      <c r="BS24" s="204"/>
      <c r="BT24" s="204"/>
      <c r="BU24" s="204"/>
      <c r="BV24" s="204"/>
      <c r="BW24" s="204"/>
      <c r="BX24" s="204"/>
      <c r="BY24" s="204"/>
      <c r="BZ24" s="204"/>
      <c r="CA24" s="204"/>
      <c r="CB24" s="204"/>
      <c r="CC24" s="204"/>
      <c r="CD24" s="204"/>
      <c r="CE24" s="204"/>
      <c r="CF24" s="204"/>
      <c r="CG24" s="204"/>
      <c r="CH24" s="204"/>
      <c r="CI24" s="204"/>
      <c r="CJ24" s="204"/>
      <c r="CK24" s="204"/>
      <c r="CL24" s="204"/>
      <c r="CM24" s="204"/>
      <c r="CN24" s="204"/>
      <c r="CO24" s="204"/>
      <c r="CP24" s="204"/>
      <c r="CQ24" s="204"/>
      <c r="CR24" s="204"/>
      <c r="CS24" s="204"/>
      <c r="CT24" s="204"/>
      <c r="CU24" s="204"/>
      <c r="CV24" s="204"/>
      <c r="CW24" s="204"/>
      <c r="CX24" s="204"/>
      <c r="CY24" s="204"/>
      <c r="CZ24" s="204"/>
      <c r="DA24" s="204"/>
      <c r="DB24" s="204"/>
      <c r="DC24" s="204"/>
      <c r="DD24" s="204"/>
      <c r="DE24" s="204"/>
      <c r="DF24" s="204"/>
      <c r="DG24" s="204"/>
      <c r="DH24" s="204"/>
      <c r="DI24" s="204"/>
      <c r="DJ24" s="204"/>
      <c r="DK24" s="204"/>
      <c r="DL24" s="204"/>
      <c r="DM24" s="204"/>
      <c r="DN24" s="204"/>
      <c r="DO24" s="204"/>
      <c r="DP24" s="204"/>
      <c r="DQ24" s="204"/>
      <c r="DR24" s="204"/>
      <c r="DS24" s="204"/>
      <c r="DT24" s="204"/>
      <c r="DU24" s="204"/>
      <c r="DV24" s="204"/>
      <c r="DW24" s="204"/>
      <c r="DX24" s="204"/>
      <c r="DY24" s="204"/>
      <c r="DZ24" s="204"/>
      <c r="EA24" s="204"/>
      <c r="EB24" s="204"/>
      <c r="EC24" s="204"/>
      <c r="ED24" s="204"/>
      <c r="EE24" s="204"/>
      <c r="EF24" s="204"/>
      <c r="EG24" s="204"/>
      <c r="EH24" s="250">
        <f>AD24+AH24+AL24+AP24+AT24+AX24+BB24+BF24+BJ24+BN24+BR24+BV24+BZ24+CD24+CH24+CL24+CP24+CT24+CX24+DA24+DD24+DG24+DJ24+DM24+DP24+DS24+DV24+DY24+EB24+EE24</f>
        <v>0</v>
      </c>
      <c r="EI24" s="250">
        <f t="shared" ref="EI24:EJ113" si="18">AE24+AI24+AM24+AQ24+AU24+AY24+BC24+BG24+BK24+BO24+BS24+BW24+CA24+CE24+CI24+CM24+CQ24+CU24+CY24+DB24+DE24+DH24+DK24+DN24+DQ24+DT24+DW24+DZ24+EC24+EF24</f>
        <v>0</v>
      </c>
      <c r="EJ24" s="250">
        <f t="shared" si="18"/>
        <v>0</v>
      </c>
      <c r="EK24" s="204">
        <f t="shared" si="10"/>
        <v>0</v>
      </c>
      <c r="EL24" s="204">
        <f t="shared" si="11"/>
        <v>0</v>
      </c>
      <c r="EM24" s="204">
        <f t="shared" si="12"/>
        <v>0</v>
      </c>
      <c r="EN24" s="204">
        <f t="shared" si="13"/>
        <v>0</v>
      </c>
      <c r="EO24" s="204">
        <f t="shared" si="14"/>
        <v>0</v>
      </c>
      <c r="EP24" s="204"/>
      <c r="EQ24" s="55"/>
      <c r="ER24" s="55"/>
      <c r="ES24" s="18"/>
      <c r="ET24" s="18"/>
      <c r="EU24" s="18"/>
      <c r="EV24" s="18"/>
      <c r="EW24" s="18"/>
      <c r="EX24" s="18"/>
      <c r="EY24" s="331" t="e">
        <f t="shared" si="15"/>
        <v>#DIV/0!</v>
      </c>
      <c r="EZ24" s="332">
        <v>0</v>
      </c>
      <c r="FA24" s="336"/>
      <c r="FB24" s="336"/>
      <c r="FC24" s="337">
        <v>0</v>
      </c>
      <c r="FD24" s="338" t="s">
        <v>72</v>
      </c>
      <c r="FE24" s="47"/>
      <c r="FF24" s="47"/>
      <c r="FG24" s="47"/>
      <c r="FH24" s="47"/>
      <c r="FI24" s="25"/>
      <c r="FJ24" s="47"/>
    </row>
    <row r="25" spans="1:166" ht="138.75" hidden="1" customHeight="1">
      <c r="A25" s="15"/>
      <c r="B25" s="5" t="s">
        <v>975</v>
      </c>
      <c r="C25" s="5" t="s">
        <v>975</v>
      </c>
      <c r="D25" s="295" t="s">
        <v>1262</v>
      </c>
      <c r="E25" s="295"/>
      <c r="F25" s="20">
        <v>121531</v>
      </c>
      <c r="G25" s="275" t="s">
        <v>994</v>
      </c>
      <c r="H25" s="297"/>
      <c r="I25" s="297"/>
      <c r="J25" s="18" t="s">
        <v>230</v>
      </c>
      <c r="K25" s="18"/>
      <c r="L25" s="18"/>
      <c r="M25" s="47"/>
      <c r="N25" s="18"/>
      <c r="O25" s="47"/>
      <c r="P25" s="20"/>
      <c r="Q25" s="21"/>
      <c r="R25" s="22"/>
      <c r="S25" s="22"/>
      <c r="T25" s="22"/>
      <c r="U25" s="22"/>
      <c r="V25" s="48"/>
      <c r="W25" s="48"/>
      <c r="X25" s="23"/>
      <c r="Y25" s="23">
        <f t="shared" si="4"/>
        <v>0</v>
      </c>
      <c r="Z25" s="23"/>
      <c r="AA25" s="204">
        <f t="shared" si="9"/>
        <v>0</v>
      </c>
      <c r="AB25" s="204"/>
      <c r="AC25" s="204"/>
      <c r="AD25" s="204"/>
      <c r="AE25" s="204"/>
      <c r="AF25" s="50"/>
      <c r="AG25" s="253"/>
      <c r="AH25" s="204"/>
      <c r="AI25" s="204"/>
      <c r="AJ25" s="204"/>
      <c r="AK25" s="253"/>
      <c r="AL25" s="50"/>
      <c r="AM25" s="254"/>
      <c r="AN25" s="204"/>
      <c r="AO25" s="253"/>
      <c r="AP25" s="204"/>
      <c r="AQ25" s="204"/>
      <c r="AR25" s="204"/>
      <c r="AS25" s="253"/>
      <c r="AT25" s="204"/>
      <c r="AU25" s="204"/>
      <c r="AV25" s="204"/>
      <c r="AW25" s="249"/>
      <c r="AX25" s="204"/>
      <c r="AY25" s="204"/>
      <c r="AZ25" s="204"/>
      <c r="BA25" s="204"/>
      <c r="BB25" s="204"/>
      <c r="BC25" s="204"/>
      <c r="BD25" s="204"/>
      <c r="BE25" s="204"/>
      <c r="BF25" s="204"/>
      <c r="BG25" s="204"/>
      <c r="BH25" s="204"/>
      <c r="BI25" s="204"/>
      <c r="BJ25" s="204"/>
      <c r="BK25" s="204"/>
      <c r="BL25" s="204"/>
      <c r="BM25" s="204"/>
      <c r="BN25" s="204"/>
      <c r="BO25" s="204"/>
      <c r="BP25" s="204"/>
      <c r="BQ25" s="204"/>
      <c r="BR25" s="204"/>
      <c r="BS25" s="204"/>
      <c r="BT25" s="204"/>
      <c r="BU25" s="204"/>
      <c r="BV25" s="204"/>
      <c r="BW25" s="204"/>
      <c r="BX25" s="204"/>
      <c r="BY25" s="204"/>
      <c r="BZ25" s="204"/>
      <c r="CA25" s="204"/>
      <c r="CB25" s="204"/>
      <c r="CC25" s="204"/>
      <c r="CD25" s="204"/>
      <c r="CE25" s="204"/>
      <c r="CF25" s="204"/>
      <c r="CG25" s="204"/>
      <c r="CH25" s="204"/>
      <c r="CI25" s="204"/>
      <c r="CJ25" s="204"/>
      <c r="CK25" s="204"/>
      <c r="CL25" s="204"/>
      <c r="CM25" s="204"/>
      <c r="CN25" s="204"/>
      <c r="CO25" s="204"/>
      <c r="CP25" s="204"/>
      <c r="CQ25" s="204"/>
      <c r="CR25" s="204"/>
      <c r="CS25" s="204"/>
      <c r="CT25" s="204"/>
      <c r="CU25" s="204"/>
      <c r="CV25" s="204"/>
      <c r="CW25" s="204"/>
      <c r="CX25" s="204"/>
      <c r="CY25" s="204"/>
      <c r="CZ25" s="204"/>
      <c r="DA25" s="204"/>
      <c r="DB25" s="204"/>
      <c r="DC25" s="204"/>
      <c r="DD25" s="204"/>
      <c r="DE25" s="204"/>
      <c r="DF25" s="204"/>
      <c r="DG25" s="204"/>
      <c r="DH25" s="204"/>
      <c r="DI25" s="204"/>
      <c r="DJ25" s="204"/>
      <c r="DK25" s="204"/>
      <c r="DL25" s="204"/>
      <c r="DM25" s="204"/>
      <c r="DN25" s="204"/>
      <c r="DO25" s="204"/>
      <c r="DP25" s="204"/>
      <c r="DQ25" s="204"/>
      <c r="DR25" s="204"/>
      <c r="DS25" s="204"/>
      <c r="DT25" s="204"/>
      <c r="DU25" s="204"/>
      <c r="DV25" s="204"/>
      <c r="DW25" s="204"/>
      <c r="DX25" s="204"/>
      <c r="DY25" s="204"/>
      <c r="DZ25" s="204"/>
      <c r="EA25" s="204"/>
      <c r="EB25" s="204"/>
      <c r="EC25" s="204"/>
      <c r="ED25" s="204"/>
      <c r="EE25" s="204"/>
      <c r="EF25" s="204"/>
      <c r="EG25" s="204"/>
      <c r="EH25" s="250">
        <f>AD25+AH25+AL25+AP25+AT25+AX25+BB25+BF25+BJ25+BN25+BR25+BV25+BZ25+CD25+CH25+CL25+CP25+CT25+CX25+DA25+DD25+DG25+DJ25+DM25+DP25+DS25+DV25+DY25+EB25+EE25</f>
        <v>0</v>
      </c>
      <c r="EI25" s="250">
        <f t="shared" si="18"/>
        <v>0</v>
      </c>
      <c r="EJ25" s="250">
        <f t="shared" si="18"/>
        <v>0</v>
      </c>
      <c r="EK25" s="204">
        <f t="shared" si="10"/>
        <v>0</v>
      </c>
      <c r="EL25" s="204">
        <f t="shared" si="11"/>
        <v>0</v>
      </c>
      <c r="EM25" s="204">
        <f t="shared" si="12"/>
        <v>0</v>
      </c>
      <c r="EN25" s="204">
        <f t="shared" si="13"/>
        <v>0</v>
      </c>
      <c r="EO25" s="204">
        <f t="shared" si="14"/>
        <v>0</v>
      </c>
      <c r="EP25" s="204"/>
      <c r="EQ25" s="55"/>
      <c r="ER25" s="55"/>
      <c r="ES25" s="18"/>
      <c r="ET25" s="18"/>
      <c r="EU25" s="18"/>
      <c r="EV25" s="18"/>
      <c r="EW25" s="18"/>
      <c r="EX25" s="18"/>
      <c r="EY25" s="331" t="e">
        <f t="shared" si="15"/>
        <v>#DIV/0!</v>
      </c>
      <c r="EZ25" s="332">
        <v>0</v>
      </c>
      <c r="FA25" s="336"/>
      <c r="FB25" s="336"/>
      <c r="FC25" s="337">
        <v>0</v>
      </c>
      <c r="FD25" s="338" t="s">
        <v>72</v>
      </c>
      <c r="FE25" s="47"/>
      <c r="FF25" s="47"/>
      <c r="FG25" s="47"/>
      <c r="FH25" s="47"/>
      <c r="FI25" s="25"/>
      <c r="FJ25" s="47"/>
    </row>
    <row r="26" spans="1:166" ht="183.75" hidden="1" customHeight="1">
      <c r="A26" s="15">
        <v>12</v>
      </c>
      <c r="B26" s="5" t="s">
        <v>975</v>
      </c>
      <c r="C26" s="5" t="s">
        <v>975</v>
      </c>
      <c r="D26" s="5" t="s">
        <v>1262</v>
      </c>
      <c r="E26" s="295"/>
      <c r="F26" s="20">
        <v>121531</v>
      </c>
      <c r="G26" s="275" t="s">
        <v>995</v>
      </c>
      <c r="H26" s="297"/>
      <c r="I26" s="297"/>
      <c r="J26" s="18" t="s">
        <v>230</v>
      </c>
      <c r="K26" s="18" t="s">
        <v>297</v>
      </c>
      <c r="L26" s="18" t="s">
        <v>436</v>
      </c>
      <c r="M26" s="47" t="s">
        <v>299</v>
      </c>
      <c r="N26" s="18" t="s">
        <v>1016</v>
      </c>
      <c r="O26" s="47" t="s">
        <v>1017</v>
      </c>
      <c r="P26" s="20" t="s">
        <v>1018</v>
      </c>
      <c r="Q26" s="21"/>
      <c r="R26" s="22"/>
      <c r="S26" s="22"/>
      <c r="T26" s="22"/>
      <c r="U26" s="22"/>
      <c r="V26" s="48">
        <v>44824</v>
      </c>
      <c r="W26" s="48">
        <v>44827</v>
      </c>
      <c r="X26" s="23">
        <v>72924205.790000007</v>
      </c>
      <c r="Y26" s="23">
        <f t="shared" si="4"/>
        <v>84592078.716399997</v>
      </c>
      <c r="Z26" s="23">
        <v>84592078.719999999</v>
      </c>
      <c r="AA26" s="204">
        <f t="shared" si="9"/>
        <v>-84592078.719999999</v>
      </c>
      <c r="AB26" s="204">
        <v>25377623.609999999</v>
      </c>
      <c r="AC26" s="204">
        <v>25377623.609999999</v>
      </c>
      <c r="AD26" s="204">
        <v>24675867.57</v>
      </c>
      <c r="AE26" s="204">
        <v>7402760.2599999998</v>
      </c>
      <c r="AF26" s="50">
        <f>AD26-AE26</f>
        <v>17273107.310000002</v>
      </c>
      <c r="AG26" s="253">
        <v>44888</v>
      </c>
      <c r="AH26" s="204">
        <v>14101415.109999999</v>
      </c>
      <c r="AI26" s="204">
        <v>4230424.53</v>
      </c>
      <c r="AJ26" s="204">
        <f>AH26-AI26</f>
        <v>9870990.5799999982</v>
      </c>
      <c r="AK26" s="253">
        <v>44889</v>
      </c>
      <c r="AL26" s="204">
        <v>2016467.82</v>
      </c>
      <c r="AM26" s="204">
        <v>604940.35</v>
      </c>
      <c r="AN26" s="204">
        <f>AL26-AM26</f>
        <v>1411527.4700000002</v>
      </c>
      <c r="AO26" s="253">
        <v>44900</v>
      </c>
      <c r="AP26" s="204">
        <v>4903443.1100000003</v>
      </c>
      <c r="AQ26" s="204">
        <v>1471032.93</v>
      </c>
      <c r="AR26" s="204">
        <f>AP26-AQ26</f>
        <v>3432410.1800000006</v>
      </c>
      <c r="AS26" s="253">
        <v>44921</v>
      </c>
      <c r="AT26" s="204">
        <v>3929558.82</v>
      </c>
      <c r="AU26" s="204">
        <v>1178867.6499999999</v>
      </c>
      <c r="AV26" s="204">
        <f>AT26-AU26</f>
        <v>2750691.17</v>
      </c>
      <c r="AW26" s="249">
        <v>44973</v>
      </c>
      <c r="AX26" s="204">
        <v>5610226.5499999998</v>
      </c>
      <c r="AY26" s="204">
        <v>1683067.97</v>
      </c>
      <c r="AZ26" s="204">
        <f>AX26-AY26</f>
        <v>3927158.58</v>
      </c>
      <c r="BA26" s="249">
        <v>45001</v>
      </c>
      <c r="BB26" s="204">
        <v>5171695.62</v>
      </c>
      <c r="BC26" s="204">
        <v>1551508.69</v>
      </c>
      <c r="BD26" s="204">
        <f>BB26-BC26</f>
        <v>3620186.93</v>
      </c>
      <c r="BE26" s="204"/>
      <c r="BF26" s="204">
        <v>4815886.3099999996</v>
      </c>
      <c r="BG26" s="204">
        <v>1444765.89</v>
      </c>
      <c r="BH26" s="204">
        <f>BF26-BG26</f>
        <v>3371120.42</v>
      </c>
      <c r="BI26" s="204"/>
      <c r="BJ26" s="204">
        <v>10404823.16</v>
      </c>
      <c r="BK26" s="204">
        <v>5810255.3399999999</v>
      </c>
      <c r="BL26" s="204">
        <f>BJ26-BK26</f>
        <v>4594567.82</v>
      </c>
      <c r="BM26" s="204"/>
      <c r="BN26" s="204">
        <v>3122824.33</v>
      </c>
      <c r="BO26" s="204">
        <v>0</v>
      </c>
      <c r="BP26" s="204">
        <f>BN26-BO26</f>
        <v>3122824.33</v>
      </c>
      <c r="BQ26" s="204"/>
      <c r="BR26" s="204">
        <v>197536.2</v>
      </c>
      <c r="BS26" s="204">
        <v>0</v>
      </c>
      <c r="BT26" s="204">
        <f>BR26-BS26</f>
        <v>197536.2</v>
      </c>
      <c r="BU26" s="204"/>
      <c r="BV26" s="204"/>
      <c r="BW26" s="204"/>
      <c r="BX26" s="204"/>
      <c r="BY26" s="204"/>
      <c r="BZ26" s="204"/>
      <c r="CA26" s="204"/>
      <c r="CB26" s="204"/>
      <c r="CC26" s="204"/>
      <c r="CD26" s="204"/>
      <c r="CE26" s="204"/>
      <c r="CF26" s="204"/>
      <c r="CG26" s="204"/>
      <c r="CH26" s="204"/>
      <c r="CI26" s="204"/>
      <c r="CJ26" s="204"/>
      <c r="CK26" s="204"/>
      <c r="CL26" s="204"/>
      <c r="CM26" s="204"/>
      <c r="CN26" s="204"/>
      <c r="CO26" s="204"/>
      <c r="CP26" s="204"/>
      <c r="CQ26" s="204"/>
      <c r="CR26" s="204"/>
      <c r="CS26" s="204"/>
      <c r="CT26" s="204"/>
      <c r="CU26" s="204"/>
      <c r="CV26" s="204"/>
      <c r="CW26" s="204"/>
      <c r="CX26" s="204"/>
      <c r="CY26" s="204"/>
      <c r="CZ26" s="204"/>
      <c r="DA26" s="204"/>
      <c r="DB26" s="204"/>
      <c r="DC26" s="204"/>
      <c r="DD26" s="204"/>
      <c r="DE26" s="204"/>
      <c r="DF26" s="204"/>
      <c r="DG26" s="204"/>
      <c r="DH26" s="204"/>
      <c r="DI26" s="204"/>
      <c r="DJ26" s="204"/>
      <c r="DK26" s="204"/>
      <c r="DL26" s="204"/>
      <c r="DM26" s="204"/>
      <c r="DN26" s="204"/>
      <c r="DO26" s="204"/>
      <c r="DP26" s="204"/>
      <c r="DQ26" s="204"/>
      <c r="DR26" s="204"/>
      <c r="DS26" s="204"/>
      <c r="DT26" s="204"/>
      <c r="DU26" s="204"/>
      <c r="DV26" s="204"/>
      <c r="DW26" s="204"/>
      <c r="DX26" s="204"/>
      <c r="DY26" s="204"/>
      <c r="DZ26" s="204"/>
      <c r="EA26" s="204"/>
      <c r="EB26" s="204"/>
      <c r="EC26" s="204"/>
      <c r="ED26" s="204"/>
      <c r="EE26" s="204"/>
      <c r="EF26" s="204"/>
      <c r="EG26" s="204"/>
      <c r="EH26" s="250">
        <f>AD26+AH26+AL26+AP26+AT26+AX26+BB26+BF26+BJ26+BN26+BR26+BV26+BZ26+CD26+CH26+CL26+CP26+CT26+CX26+DA26+DD26+DG26+DJ26+DM26+DP26+DS26+DV26+DY26+EB26+EE26</f>
        <v>78949744.599999994</v>
      </c>
      <c r="EI26" s="250">
        <f t="shared" si="18"/>
        <v>25377623.609999999</v>
      </c>
      <c r="EJ26" s="250">
        <f t="shared" si="18"/>
        <v>53572120.990000002</v>
      </c>
      <c r="EK26" s="204">
        <f t="shared" si="10"/>
        <v>78949744.599999994</v>
      </c>
      <c r="EL26" s="204">
        <f t="shared" si="11"/>
        <v>0</v>
      </c>
      <c r="EM26" s="255">
        <f t="shared" si="12"/>
        <v>5642334.1200000048</v>
      </c>
      <c r="EN26" s="204">
        <f t="shared" si="13"/>
        <v>25377623.609999992</v>
      </c>
      <c r="EO26" s="204">
        <f t="shared" si="14"/>
        <v>-78949744.599999994</v>
      </c>
      <c r="EP26" s="204"/>
      <c r="EQ26" s="55">
        <v>44828</v>
      </c>
      <c r="ER26" s="55">
        <v>44977</v>
      </c>
      <c r="ES26" s="18"/>
      <c r="ET26" s="18"/>
      <c r="EU26" s="47" t="s">
        <v>1235</v>
      </c>
      <c r="EV26" s="18"/>
      <c r="EW26" s="18"/>
      <c r="EX26" s="18"/>
      <c r="EY26" s="331">
        <f t="shared" si="15"/>
        <v>0.93329949795091161</v>
      </c>
      <c r="EZ26" s="332">
        <v>1</v>
      </c>
      <c r="FA26" s="336"/>
      <c r="FB26" s="336"/>
      <c r="FC26" s="337">
        <f>(AC26+EH26-EI26)/Z26</f>
        <v>0.93329949795091161</v>
      </c>
      <c r="FD26" s="338" t="s">
        <v>147</v>
      </c>
      <c r="FE26" s="47" t="s">
        <v>1015</v>
      </c>
      <c r="FF26" s="47"/>
      <c r="FG26" s="47" t="s">
        <v>157</v>
      </c>
      <c r="FH26" s="47"/>
      <c r="FI26" s="25">
        <v>300000</v>
      </c>
      <c r="FJ26" s="51" t="s">
        <v>1236</v>
      </c>
    </row>
    <row r="27" spans="1:166" s="214" customFormat="1" ht="80.25" hidden="1" customHeight="1">
      <c r="A27" s="60"/>
      <c r="B27" s="211"/>
      <c r="C27" s="212"/>
      <c r="D27" s="61"/>
      <c r="E27" s="61"/>
      <c r="F27" s="62"/>
      <c r="G27" s="63"/>
      <c r="H27" s="64">
        <f>268000000-50407921.28</f>
        <v>217592078.72</v>
      </c>
      <c r="I27" s="64">
        <f>268000000-50407921.28</f>
        <v>217592078.72</v>
      </c>
      <c r="J27" s="63" t="s">
        <v>1012</v>
      </c>
      <c r="K27" s="63"/>
      <c r="L27" s="63"/>
      <c r="M27" s="62"/>
      <c r="N27" s="63"/>
      <c r="O27" s="62"/>
      <c r="P27" s="65"/>
      <c r="Q27" s="66"/>
      <c r="R27" s="67"/>
      <c r="S27" s="67"/>
      <c r="T27" s="67"/>
      <c r="U27" s="67"/>
      <c r="V27" s="68"/>
      <c r="W27" s="68"/>
      <c r="X27" s="213"/>
      <c r="Y27" s="213"/>
      <c r="Z27" s="213">
        <f>+Z24+Z25+Z26</f>
        <v>84592078.719999999</v>
      </c>
      <c r="AA27" s="213">
        <f>+AA24+AA25+AA26</f>
        <v>-84592078.719999999</v>
      </c>
      <c r="AB27" s="213">
        <f>+AB24+AB25+AB26</f>
        <v>25377623.609999999</v>
      </c>
      <c r="AC27" s="213">
        <f>+AC24+AC25+AC26</f>
        <v>25377623.609999999</v>
      </c>
      <c r="AD27" s="255"/>
      <c r="AE27" s="255"/>
      <c r="AF27" s="256"/>
      <c r="AG27" s="257"/>
      <c r="AH27" s="255"/>
      <c r="AI27" s="255"/>
      <c r="AJ27" s="255"/>
      <c r="AK27" s="257"/>
      <c r="AL27" s="256"/>
      <c r="AM27" s="258"/>
      <c r="AN27" s="255"/>
      <c r="AO27" s="257"/>
      <c r="AP27" s="334"/>
      <c r="AQ27" s="255"/>
      <c r="AR27" s="255"/>
      <c r="AS27" s="257"/>
      <c r="AT27" s="255"/>
      <c r="AU27" s="255"/>
      <c r="AV27" s="255"/>
      <c r="AW27" s="259"/>
      <c r="AX27" s="255"/>
      <c r="AY27" s="255"/>
      <c r="AZ27" s="255"/>
      <c r="BA27" s="255"/>
      <c r="BB27" s="255"/>
      <c r="BC27" s="255"/>
      <c r="BD27" s="255"/>
      <c r="BE27" s="255"/>
      <c r="BF27" s="255"/>
      <c r="BG27" s="255"/>
      <c r="BH27" s="255"/>
      <c r="BI27" s="255"/>
      <c r="BJ27" s="255"/>
      <c r="BK27" s="255"/>
      <c r="BL27" s="255"/>
      <c r="BM27" s="255"/>
      <c r="BN27" s="255"/>
      <c r="BO27" s="255"/>
      <c r="BP27" s="255"/>
      <c r="BQ27" s="255"/>
      <c r="BR27" s="255"/>
      <c r="BS27" s="255"/>
      <c r="BT27" s="255"/>
      <c r="BU27" s="255"/>
      <c r="BV27" s="255"/>
      <c r="BW27" s="255"/>
      <c r="BX27" s="255"/>
      <c r="BY27" s="255"/>
      <c r="BZ27" s="255"/>
      <c r="CA27" s="255"/>
      <c r="CB27" s="255"/>
      <c r="CC27" s="255"/>
      <c r="CD27" s="255"/>
      <c r="CE27" s="255"/>
      <c r="CF27" s="255"/>
      <c r="CG27" s="255"/>
      <c r="CH27" s="255"/>
      <c r="CI27" s="255"/>
      <c r="CJ27" s="255"/>
      <c r="CK27" s="255"/>
      <c r="CL27" s="255"/>
      <c r="CM27" s="255"/>
      <c r="CN27" s="255"/>
      <c r="CO27" s="255"/>
      <c r="CP27" s="255"/>
      <c r="CQ27" s="255"/>
      <c r="CR27" s="255"/>
      <c r="CS27" s="255"/>
      <c r="CT27" s="255"/>
      <c r="CU27" s="255"/>
      <c r="CV27" s="255"/>
      <c r="CW27" s="255"/>
      <c r="CX27" s="255"/>
      <c r="CY27" s="255"/>
      <c r="CZ27" s="255"/>
      <c r="DA27" s="255"/>
      <c r="DB27" s="255"/>
      <c r="DC27" s="255"/>
      <c r="DD27" s="255"/>
      <c r="DE27" s="255"/>
      <c r="DF27" s="255"/>
      <c r="DG27" s="255"/>
      <c r="DH27" s="255"/>
      <c r="DI27" s="255"/>
      <c r="DJ27" s="255"/>
      <c r="DK27" s="255"/>
      <c r="DL27" s="255"/>
      <c r="DM27" s="255"/>
      <c r="DN27" s="255"/>
      <c r="DO27" s="255"/>
      <c r="DP27" s="255"/>
      <c r="DQ27" s="255"/>
      <c r="DR27" s="255"/>
      <c r="DS27" s="255"/>
      <c r="DT27" s="255"/>
      <c r="DU27" s="255"/>
      <c r="DV27" s="255"/>
      <c r="DW27" s="255"/>
      <c r="DX27" s="255"/>
      <c r="DY27" s="255"/>
      <c r="DZ27" s="255"/>
      <c r="EA27" s="255"/>
      <c r="EB27" s="255"/>
      <c r="EC27" s="255"/>
      <c r="ED27" s="255"/>
      <c r="EE27" s="255"/>
      <c r="EF27" s="255"/>
      <c r="EG27" s="255"/>
      <c r="EH27" s="213">
        <f t="shared" ref="EH27:EO27" si="19">+EH24+EH25+EH26</f>
        <v>78949744.599999994</v>
      </c>
      <c r="EI27" s="213">
        <f t="shared" si="19"/>
        <v>25377623.609999999</v>
      </c>
      <c r="EJ27" s="213">
        <f t="shared" si="19"/>
        <v>53572120.990000002</v>
      </c>
      <c r="EK27" s="213">
        <f t="shared" si="19"/>
        <v>78949744.599999994</v>
      </c>
      <c r="EL27" s="213">
        <f t="shared" si="19"/>
        <v>0</v>
      </c>
      <c r="EM27" s="213">
        <f t="shared" si="19"/>
        <v>5642334.1200000048</v>
      </c>
      <c r="EN27" s="213">
        <f t="shared" si="19"/>
        <v>25377623.609999992</v>
      </c>
      <c r="EO27" s="213">
        <f t="shared" si="19"/>
        <v>-78949744.599999994</v>
      </c>
      <c r="EP27" s="255"/>
      <c r="EQ27" s="216"/>
      <c r="ER27" s="216"/>
      <c r="ES27" s="63"/>
      <c r="ET27" s="63"/>
      <c r="EU27" s="63"/>
      <c r="EV27" s="63"/>
      <c r="EW27" s="63"/>
      <c r="EX27" s="63"/>
      <c r="EY27" s="63"/>
      <c r="EZ27" s="342">
        <f>(EZ24*Z24)+(EZ25*Z25)+(EZ26*Z26)/Z27</f>
        <v>1</v>
      </c>
      <c r="FA27" s="342">
        <f>(FA24*AA24)+(FA25*AA25)+(FA26*AA26)/AA27</f>
        <v>0</v>
      </c>
      <c r="FB27" s="342">
        <f>(FB24*AB24)+(FB25*AB25)+(FB26*AB26)/AB27</f>
        <v>0</v>
      </c>
      <c r="FC27" s="339">
        <f>((FC24*Z24)+(FC25*Z25)+(FC26*Z26))/Z27</f>
        <v>0.93329949795091161</v>
      </c>
      <c r="FD27" s="340" t="s">
        <v>147</v>
      </c>
      <c r="FE27" s="62"/>
      <c r="FF27" s="62"/>
      <c r="FG27" s="62"/>
      <c r="FH27" s="62"/>
      <c r="FI27" s="69"/>
      <c r="FJ27" s="62" t="s">
        <v>667</v>
      </c>
    </row>
    <row r="28" spans="1:166" ht="220.5" hidden="1" customHeight="1">
      <c r="A28" s="15">
        <v>13</v>
      </c>
      <c r="B28" s="294" t="s">
        <v>980</v>
      </c>
      <c r="C28" s="294" t="s">
        <v>980</v>
      </c>
      <c r="D28" s="17"/>
      <c r="E28" s="17"/>
      <c r="F28" s="20">
        <v>121888</v>
      </c>
      <c r="G28" s="275" t="s">
        <v>1131</v>
      </c>
      <c r="H28" s="19"/>
      <c r="I28" s="19"/>
      <c r="J28" s="18" t="s">
        <v>230</v>
      </c>
      <c r="K28" s="18" t="s">
        <v>1132</v>
      </c>
      <c r="L28" s="18" t="s">
        <v>1133</v>
      </c>
      <c r="M28" s="47" t="s">
        <v>1134</v>
      </c>
      <c r="N28" s="18" t="s">
        <v>703</v>
      </c>
      <c r="O28" s="47" t="s">
        <v>939</v>
      </c>
      <c r="P28" s="20" t="s">
        <v>1182</v>
      </c>
      <c r="Q28" s="21"/>
      <c r="R28" s="22"/>
      <c r="S28" s="22"/>
      <c r="T28" s="22"/>
      <c r="U28" s="22"/>
      <c r="V28" s="321">
        <v>44924</v>
      </c>
      <c r="W28" s="48">
        <v>44925</v>
      </c>
      <c r="X28" s="23">
        <v>5960440.5599999996</v>
      </c>
      <c r="Y28" s="23">
        <f t="shared" si="4"/>
        <v>6914111.0495999986</v>
      </c>
      <c r="Z28" s="23">
        <v>6914111.0499999998</v>
      </c>
      <c r="AA28" s="204">
        <f t="shared" si="9"/>
        <v>-6914111.0499999998</v>
      </c>
      <c r="AB28" s="204">
        <v>0</v>
      </c>
      <c r="AC28" s="204">
        <v>0</v>
      </c>
      <c r="AD28" s="204">
        <v>554235.86</v>
      </c>
      <c r="AE28" s="204">
        <v>0</v>
      </c>
      <c r="AF28" s="50">
        <f>AD28-AE28</f>
        <v>554235.86</v>
      </c>
      <c r="AG28" s="253">
        <v>45002</v>
      </c>
      <c r="AH28" s="392">
        <v>5959044.9699999997</v>
      </c>
      <c r="AI28" s="392">
        <v>0</v>
      </c>
      <c r="AJ28" s="392">
        <f>AH28-AI28</f>
        <v>5959044.9699999997</v>
      </c>
      <c r="AK28" s="418"/>
      <c r="AL28" s="390">
        <v>392558.23</v>
      </c>
      <c r="AM28" s="391">
        <v>0</v>
      </c>
      <c r="AN28" s="392">
        <f>AL28-AM28</f>
        <v>392558.23</v>
      </c>
      <c r="AO28" s="253" t="s">
        <v>305</v>
      </c>
      <c r="AP28" s="204"/>
      <c r="AQ28" s="204"/>
      <c r="AR28" s="204"/>
      <c r="AS28" s="253"/>
      <c r="AT28" s="204"/>
      <c r="AU28" s="204"/>
      <c r="AV28" s="204"/>
      <c r="AW28" s="249"/>
      <c r="AX28" s="204"/>
      <c r="AY28" s="204"/>
      <c r="AZ28" s="204"/>
      <c r="BA28" s="204"/>
      <c r="BB28" s="204"/>
      <c r="BC28" s="204"/>
      <c r="BD28" s="204"/>
      <c r="BE28" s="204"/>
      <c r="BF28" s="204"/>
      <c r="BG28" s="204"/>
      <c r="BH28" s="204"/>
      <c r="BI28" s="204"/>
      <c r="BJ28" s="204"/>
      <c r="BK28" s="204"/>
      <c r="BL28" s="204"/>
      <c r="BM28" s="204"/>
      <c r="BN28" s="204"/>
      <c r="BO28" s="204"/>
      <c r="BP28" s="204"/>
      <c r="BQ28" s="204"/>
      <c r="BR28" s="204"/>
      <c r="BS28" s="204"/>
      <c r="BT28" s="204"/>
      <c r="BU28" s="204"/>
      <c r="BV28" s="204"/>
      <c r="BW28" s="204"/>
      <c r="BX28" s="204"/>
      <c r="BY28" s="204"/>
      <c r="BZ28" s="204"/>
      <c r="CA28" s="204"/>
      <c r="CB28" s="204"/>
      <c r="CC28" s="204"/>
      <c r="CD28" s="204"/>
      <c r="CE28" s="204"/>
      <c r="CF28" s="204"/>
      <c r="CG28" s="204"/>
      <c r="CH28" s="204"/>
      <c r="CI28" s="204"/>
      <c r="CJ28" s="204"/>
      <c r="CK28" s="204"/>
      <c r="CL28" s="204"/>
      <c r="CM28" s="204"/>
      <c r="CN28" s="204"/>
      <c r="CO28" s="204"/>
      <c r="CP28" s="204"/>
      <c r="CQ28" s="204"/>
      <c r="CR28" s="204"/>
      <c r="CS28" s="204"/>
      <c r="CT28" s="204"/>
      <c r="CU28" s="204"/>
      <c r="CV28" s="204"/>
      <c r="CW28" s="204"/>
      <c r="CX28" s="204"/>
      <c r="CY28" s="204"/>
      <c r="CZ28" s="204"/>
      <c r="DA28" s="204"/>
      <c r="DB28" s="204"/>
      <c r="DC28" s="204"/>
      <c r="DD28" s="204"/>
      <c r="DE28" s="204"/>
      <c r="DF28" s="204"/>
      <c r="DG28" s="204"/>
      <c r="DH28" s="204"/>
      <c r="DI28" s="204"/>
      <c r="DJ28" s="204"/>
      <c r="DK28" s="204"/>
      <c r="DL28" s="204"/>
      <c r="DM28" s="204"/>
      <c r="DN28" s="204"/>
      <c r="DO28" s="204"/>
      <c r="DP28" s="204"/>
      <c r="DQ28" s="204"/>
      <c r="DR28" s="204"/>
      <c r="DS28" s="204"/>
      <c r="DT28" s="204"/>
      <c r="DU28" s="204"/>
      <c r="DV28" s="204"/>
      <c r="DW28" s="204"/>
      <c r="DX28" s="204"/>
      <c r="DY28" s="204"/>
      <c r="DZ28" s="204"/>
      <c r="EA28" s="204"/>
      <c r="EB28" s="204"/>
      <c r="EC28" s="204"/>
      <c r="ED28" s="204"/>
      <c r="EE28" s="204"/>
      <c r="EF28" s="204"/>
      <c r="EG28" s="204"/>
      <c r="EH28" s="250">
        <f>AD28+AH28+AL28+AP28+AT28+AX28+BB28+BF28+BJ28+BN28+BR28+BV28+BZ28+CD28+CH28+CL28+CP28+CT28+CX28+DA28+DD28+DG28+DJ28+DM28+DP28+DS28+DV28+DY28+EB28+EE28</f>
        <v>6905839.0600000005</v>
      </c>
      <c r="EI28" s="250">
        <f t="shared" si="18"/>
        <v>0</v>
      </c>
      <c r="EJ28" s="250">
        <f t="shared" si="18"/>
        <v>6905839.0600000005</v>
      </c>
      <c r="EK28" s="204">
        <f t="shared" si="10"/>
        <v>6905839.0600000005</v>
      </c>
      <c r="EL28" s="204">
        <f t="shared" si="11"/>
        <v>0</v>
      </c>
      <c r="EM28" s="255">
        <f t="shared" si="12"/>
        <v>8271.9899999992922</v>
      </c>
      <c r="EN28" s="204">
        <f t="shared" si="13"/>
        <v>0</v>
      </c>
      <c r="EO28" s="204">
        <f t="shared" si="14"/>
        <v>-6905839.0600000005</v>
      </c>
      <c r="EP28" s="204"/>
      <c r="EQ28" s="55">
        <v>44926</v>
      </c>
      <c r="ER28" s="55">
        <v>45015</v>
      </c>
      <c r="ES28" s="18"/>
      <c r="ET28" s="47" t="s">
        <v>1366</v>
      </c>
      <c r="EU28" s="18"/>
      <c r="EV28" s="18"/>
      <c r="EW28" s="18"/>
      <c r="EX28" s="18"/>
      <c r="EY28" s="331">
        <f t="shared" si="15"/>
        <v>0.99880360758741371</v>
      </c>
      <c r="EZ28" s="421">
        <v>1</v>
      </c>
      <c r="FA28" s="336"/>
      <c r="FB28" s="336"/>
      <c r="FC28" s="369">
        <f>(AC28+EH28-EI28)/Z28</f>
        <v>0.99880360758741371</v>
      </c>
      <c r="FD28" s="338" t="s">
        <v>147</v>
      </c>
      <c r="FE28" s="47" t="s">
        <v>1135</v>
      </c>
      <c r="FF28" s="47"/>
      <c r="FG28" s="47" t="s">
        <v>138</v>
      </c>
      <c r="FH28" s="47" t="s">
        <v>148</v>
      </c>
      <c r="FI28" s="25">
        <v>4000</v>
      </c>
      <c r="FJ28" s="51" t="s">
        <v>1367</v>
      </c>
    </row>
    <row r="29" spans="1:166" ht="208.5" hidden="1" customHeight="1">
      <c r="A29" s="15">
        <v>14</v>
      </c>
      <c r="B29" s="294" t="s">
        <v>980</v>
      </c>
      <c r="C29" s="294" t="s">
        <v>980</v>
      </c>
      <c r="D29" s="17"/>
      <c r="E29" s="17"/>
      <c r="F29" s="20">
        <v>121888</v>
      </c>
      <c r="G29" s="275" t="s">
        <v>1185</v>
      </c>
      <c r="H29" s="19"/>
      <c r="I29" s="19"/>
      <c r="J29" s="18" t="s">
        <v>230</v>
      </c>
      <c r="K29" s="18" t="s">
        <v>1136</v>
      </c>
      <c r="L29" s="18" t="s">
        <v>1137</v>
      </c>
      <c r="M29" s="47" t="s">
        <v>1138</v>
      </c>
      <c r="N29" s="18" t="s">
        <v>1139</v>
      </c>
      <c r="O29" s="47">
        <v>5959517557</v>
      </c>
      <c r="P29" s="20" t="s">
        <v>1163</v>
      </c>
      <c r="Q29" s="21"/>
      <c r="R29" s="22"/>
      <c r="S29" s="22"/>
      <c r="T29" s="22"/>
      <c r="U29" s="22"/>
      <c r="V29" s="321">
        <v>44924</v>
      </c>
      <c r="W29" s="48">
        <v>44925</v>
      </c>
      <c r="X29" s="23">
        <f>4048020.71+531784.13</f>
        <v>4579804.84</v>
      </c>
      <c r="Y29" s="23">
        <f>X29*1.16</f>
        <v>5312573.6143999994</v>
      </c>
      <c r="Z29" s="23">
        <v>5312573.6100000003</v>
      </c>
      <c r="AA29" s="204">
        <f t="shared" si="9"/>
        <v>-5312573.6100000003</v>
      </c>
      <c r="AB29" s="204">
        <v>0</v>
      </c>
      <c r="AC29" s="204">
        <v>0</v>
      </c>
      <c r="AD29" s="204">
        <v>1794032.49</v>
      </c>
      <c r="AE29" s="204">
        <v>0</v>
      </c>
      <c r="AF29" s="50">
        <f>AD29-AE29</f>
        <v>1794032.49</v>
      </c>
      <c r="AG29" s="253">
        <v>44998</v>
      </c>
      <c r="AH29" s="204">
        <v>2021465.65</v>
      </c>
      <c r="AI29" s="204">
        <v>0</v>
      </c>
      <c r="AJ29" s="204">
        <f>AH29-AI29</f>
        <v>2021465.65</v>
      </c>
      <c r="AK29" s="253"/>
      <c r="AL29" s="50">
        <v>669638.85</v>
      </c>
      <c r="AM29" s="254">
        <v>0</v>
      </c>
      <c r="AN29" s="204">
        <f>AL29-AM29</f>
        <v>669638.85</v>
      </c>
      <c r="AO29" s="253"/>
      <c r="AP29" s="204">
        <v>205930.57</v>
      </c>
      <c r="AQ29" s="204">
        <v>0</v>
      </c>
      <c r="AR29" s="204">
        <f>AP29-AQ29</f>
        <v>205930.57</v>
      </c>
      <c r="AS29" s="417">
        <v>45114</v>
      </c>
      <c r="AT29" s="392">
        <v>662.21</v>
      </c>
      <c r="AU29" s="392">
        <v>0</v>
      </c>
      <c r="AV29" s="392">
        <f>AT29-AU29</f>
        <v>662.21</v>
      </c>
      <c r="AW29" s="418" t="s">
        <v>305</v>
      </c>
      <c r="AX29" s="204">
        <v>616145.6</v>
      </c>
      <c r="AY29" s="204">
        <v>0</v>
      </c>
      <c r="AZ29" s="204">
        <f>AX29-AY29</f>
        <v>616145.6</v>
      </c>
      <c r="BA29" s="253" t="s">
        <v>1347</v>
      </c>
      <c r="BB29" s="204"/>
      <c r="BC29" s="204"/>
      <c r="BD29" s="204"/>
      <c r="BE29" s="204"/>
      <c r="BF29" s="204"/>
      <c r="BG29" s="204"/>
      <c r="BH29" s="204"/>
      <c r="BI29" s="204"/>
      <c r="BJ29" s="204"/>
      <c r="BK29" s="204"/>
      <c r="BL29" s="204"/>
      <c r="BM29" s="204"/>
      <c r="BN29" s="204"/>
      <c r="BO29" s="204"/>
      <c r="BP29" s="204"/>
      <c r="BQ29" s="204"/>
      <c r="BR29" s="204"/>
      <c r="BS29" s="204"/>
      <c r="BT29" s="204"/>
      <c r="BU29" s="204"/>
      <c r="BV29" s="204"/>
      <c r="BW29" s="204"/>
      <c r="BX29" s="204"/>
      <c r="BY29" s="204"/>
      <c r="BZ29" s="204"/>
      <c r="CA29" s="204"/>
      <c r="CB29" s="204"/>
      <c r="CC29" s="204"/>
      <c r="CD29" s="204"/>
      <c r="CE29" s="204"/>
      <c r="CF29" s="204"/>
      <c r="CG29" s="204"/>
      <c r="CH29" s="204"/>
      <c r="CI29" s="204"/>
      <c r="CJ29" s="204"/>
      <c r="CK29" s="204"/>
      <c r="CL29" s="204"/>
      <c r="CM29" s="204"/>
      <c r="CN29" s="204"/>
      <c r="CO29" s="204"/>
      <c r="CP29" s="204"/>
      <c r="CQ29" s="204"/>
      <c r="CR29" s="204"/>
      <c r="CS29" s="204"/>
      <c r="CT29" s="204"/>
      <c r="CU29" s="204"/>
      <c r="CV29" s="204"/>
      <c r="CW29" s="204"/>
      <c r="CX29" s="204"/>
      <c r="CY29" s="204"/>
      <c r="CZ29" s="204"/>
      <c r="DA29" s="204"/>
      <c r="DB29" s="204"/>
      <c r="DC29" s="204"/>
      <c r="DD29" s="204"/>
      <c r="DE29" s="204"/>
      <c r="DF29" s="204"/>
      <c r="DG29" s="204"/>
      <c r="DH29" s="204"/>
      <c r="DI29" s="204"/>
      <c r="DJ29" s="204"/>
      <c r="DK29" s="204"/>
      <c r="DL29" s="204"/>
      <c r="DM29" s="204"/>
      <c r="DN29" s="204"/>
      <c r="DO29" s="204"/>
      <c r="DP29" s="204"/>
      <c r="DQ29" s="204"/>
      <c r="DR29" s="204"/>
      <c r="DS29" s="204"/>
      <c r="DT29" s="204"/>
      <c r="DU29" s="204"/>
      <c r="DV29" s="204"/>
      <c r="DW29" s="204"/>
      <c r="DX29" s="204"/>
      <c r="DY29" s="204"/>
      <c r="DZ29" s="204"/>
      <c r="EA29" s="204"/>
      <c r="EB29" s="204"/>
      <c r="EC29" s="204"/>
      <c r="ED29" s="204"/>
      <c r="EE29" s="204"/>
      <c r="EF29" s="204"/>
      <c r="EG29" s="204"/>
      <c r="EH29" s="250">
        <f>AD29+AH29+AL29+AP29+AT29+AX29+BB29+BF29+BJ29+BN29+BR29+BV29+BZ29+CD29+CH29+CL29+CP29+CT29+CX29+DA29+DD29+DG29+DJ29+DM29+DP29+DS29+DV29+DY29+EB29+EE29</f>
        <v>5307875.3699999992</v>
      </c>
      <c r="EI29" s="250">
        <f t="shared" si="18"/>
        <v>0</v>
      </c>
      <c r="EJ29" s="250">
        <f t="shared" si="18"/>
        <v>5307875.3699999992</v>
      </c>
      <c r="EK29" s="204">
        <f t="shared" si="10"/>
        <v>5307875.3699999992</v>
      </c>
      <c r="EL29" s="204">
        <f t="shared" si="11"/>
        <v>0</v>
      </c>
      <c r="EM29" s="352">
        <f t="shared" si="12"/>
        <v>4698.2400000011548</v>
      </c>
      <c r="EN29" s="204">
        <f t="shared" si="13"/>
        <v>0</v>
      </c>
      <c r="EO29" s="204">
        <f t="shared" si="14"/>
        <v>-5307875.3699999992</v>
      </c>
      <c r="EP29" s="204"/>
      <c r="EQ29" s="55">
        <v>44926</v>
      </c>
      <c r="ER29" s="55">
        <v>45015</v>
      </c>
      <c r="ES29" s="318" t="s">
        <v>1361</v>
      </c>
      <c r="ET29" s="47" t="s">
        <v>1366</v>
      </c>
      <c r="EU29" s="18"/>
      <c r="EV29" s="18"/>
      <c r="EW29" s="18"/>
      <c r="EX29" s="18"/>
      <c r="EY29" s="331">
        <f t="shared" si="15"/>
        <v>0.99911563766548894</v>
      </c>
      <c r="EZ29" s="332">
        <v>1</v>
      </c>
      <c r="FA29" s="336"/>
      <c r="FB29" s="336"/>
      <c r="FC29" s="414">
        <f>(AC29+EH29-EI29)/Z29</f>
        <v>0.99911563766548894</v>
      </c>
      <c r="FD29" s="338" t="s">
        <v>147</v>
      </c>
      <c r="FE29" s="47" t="s">
        <v>219</v>
      </c>
      <c r="FF29" s="47"/>
      <c r="FG29" s="47" t="s">
        <v>138</v>
      </c>
      <c r="FH29" s="47" t="s">
        <v>148</v>
      </c>
      <c r="FI29" s="25">
        <v>8000</v>
      </c>
      <c r="FJ29" s="51" t="s">
        <v>1367</v>
      </c>
    </row>
    <row r="30" spans="1:166" ht="207.75" hidden="1" customHeight="1">
      <c r="A30" s="15">
        <v>15</v>
      </c>
      <c r="B30" s="294" t="s">
        <v>980</v>
      </c>
      <c r="C30" s="294" t="s">
        <v>980</v>
      </c>
      <c r="D30" s="17"/>
      <c r="E30" s="17"/>
      <c r="F30" s="20">
        <v>121888</v>
      </c>
      <c r="G30" s="275" t="s">
        <v>1140</v>
      </c>
      <c r="H30" s="19"/>
      <c r="I30" s="19"/>
      <c r="J30" s="18" t="s">
        <v>230</v>
      </c>
      <c r="K30" s="18" t="s">
        <v>700</v>
      </c>
      <c r="L30" s="18" t="s">
        <v>1141</v>
      </c>
      <c r="M30" s="47" t="s">
        <v>702</v>
      </c>
      <c r="N30" s="18" t="s">
        <v>703</v>
      </c>
      <c r="O30" s="47">
        <v>7141460137</v>
      </c>
      <c r="P30" s="20" t="s">
        <v>1183</v>
      </c>
      <c r="Q30" s="21"/>
      <c r="R30" s="22"/>
      <c r="S30" s="22"/>
      <c r="T30" s="22"/>
      <c r="U30" s="22"/>
      <c r="V30" s="321">
        <v>44924</v>
      </c>
      <c r="W30" s="48">
        <v>44925</v>
      </c>
      <c r="X30" s="23">
        <v>5958102.29</v>
      </c>
      <c r="Y30" s="23">
        <f>X30*1.16</f>
        <v>6911398.6563999997</v>
      </c>
      <c r="Z30" s="23">
        <v>6911398.6600000001</v>
      </c>
      <c r="AA30" s="204">
        <f t="shared" si="9"/>
        <v>-6911398.6600000001</v>
      </c>
      <c r="AB30" s="204">
        <v>0</v>
      </c>
      <c r="AC30" s="204">
        <v>0</v>
      </c>
      <c r="AD30" s="204">
        <v>553545.55000000005</v>
      </c>
      <c r="AE30" s="204">
        <v>0</v>
      </c>
      <c r="AF30" s="50">
        <f>AD30-AE30</f>
        <v>553545.55000000005</v>
      </c>
      <c r="AG30" s="253">
        <v>45001</v>
      </c>
      <c r="AH30" s="204">
        <v>2241562.25</v>
      </c>
      <c r="AI30" s="204">
        <v>0</v>
      </c>
      <c r="AJ30" s="204">
        <f>AH30-AI30</f>
        <v>2241562.25</v>
      </c>
      <c r="AK30" s="253"/>
      <c r="AL30" s="204">
        <v>3452805.68</v>
      </c>
      <c r="AM30" s="254">
        <v>0</v>
      </c>
      <c r="AN30" s="204">
        <f>AL30-AM30</f>
        <v>3452805.68</v>
      </c>
      <c r="AO30" s="253"/>
      <c r="AP30" s="204">
        <v>392558.11</v>
      </c>
      <c r="AQ30" s="204">
        <v>0</v>
      </c>
      <c r="AR30" s="204">
        <f>AP30-AQ30</f>
        <v>392558.11</v>
      </c>
      <c r="AS30" s="426"/>
      <c r="AT30" s="392">
        <v>256984.13</v>
      </c>
      <c r="AU30" s="392">
        <v>0</v>
      </c>
      <c r="AV30" s="392">
        <f>AT30-AU30</f>
        <v>256984.13</v>
      </c>
      <c r="AW30" s="312"/>
      <c r="AX30" s="204"/>
      <c r="AY30" s="204"/>
      <c r="AZ30" s="204"/>
      <c r="BA30" s="204"/>
      <c r="BB30" s="204"/>
      <c r="BC30" s="204"/>
      <c r="BD30" s="204"/>
      <c r="BE30" s="204"/>
      <c r="BF30" s="204"/>
      <c r="BG30" s="204"/>
      <c r="BH30" s="204"/>
      <c r="BI30" s="204"/>
      <c r="BJ30" s="204"/>
      <c r="BK30" s="204"/>
      <c r="BL30" s="204"/>
      <c r="BM30" s="204"/>
      <c r="BN30" s="204"/>
      <c r="BO30" s="204"/>
      <c r="BP30" s="204"/>
      <c r="BQ30" s="204"/>
      <c r="BR30" s="204"/>
      <c r="BS30" s="204"/>
      <c r="BT30" s="204"/>
      <c r="BU30" s="204"/>
      <c r="BV30" s="204"/>
      <c r="BW30" s="204"/>
      <c r="BX30" s="204"/>
      <c r="BY30" s="204"/>
      <c r="BZ30" s="204"/>
      <c r="CA30" s="204"/>
      <c r="CB30" s="204"/>
      <c r="CC30" s="204"/>
      <c r="CD30" s="204"/>
      <c r="CE30" s="204"/>
      <c r="CF30" s="204"/>
      <c r="CG30" s="204"/>
      <c r="CH30" s="204"/>
      <c r="CI30" s="204"/>
      <c r="CJ30" s="204"/>
      <c r="CK30" s="204"/>
      <c r="CL30" s="204"/>
      <c r="CM30" s="204"/>
      <c r="CN30" s="204"/>
      <c r="CO30" s="204"/>
      <c r="CP30" s="204"/>
      <c r="CQ30" s="204"/>
      <c r="CR30" s="204"/>
      <c r="CS30" s="204"/>
      <c r="CT30" s="204"/>
      <c r="CU30" s="204"/>
      <c r="CV30" s="204"/>
      <c r="CW30" s="204"/>
      <c r="CX30" s="204"/>
      <c r="CY30" s="204"/>
      <c r="CZ30" s="204"/>
      <c r="DA30" s="204"/>
      <c r="DB30" s="204"/>
      <c r="DC30" s="204"/>
      <c r="DD30" s="204"/>
      <c r="DE30" s="204"/>
      <c r="DF30" s="204"/>
      <c r="DG30" s="204"/>
      <c r="DH30" s="204"/>
      <c r="DI30" s="204"/>
      <c r="DJ30" s="204"/>
      <c r="DK30" s="204"/>
      <c r="DL30" s="204"/>
      <c r="DM30" s="204"/>
      <c r="DN30" s="204"/>
      <c r="DO30" s="204"/>
      <c r="DP30" s="204"/>
      <c r="DQ30" s="204"/>
      <c r="DR30" s="204"/>
      <c r="DS30" s="204"/>
      <c r="DT30" s="204"/>
      <c r="DU30" s="204"/>
      <c r="DV30" s="204"/>
      <c r="DW30" s="204"/>
      <c r="DX30" s="204"/>
      <c r="DY30" s="204"/>
      <c r="DZ30" s="204"/>
      <c r="EA30" s="204"/>
      <c r="EB30" s="204"/>
      <c r="EC30" s="204"/>
      <c r="ED30" s="204"/>
      <c r="EE30" s="204"/>
      <c r="EF30" s="204"/>
      <c r="EG30" s="204"/>
      <c r="EH30" s="250">
        <f>AD30+AH30+AL30+AP30+AT30+AX30+BB30+BF30+BJ30+BN30+BR30+BV30+BZ30+CD30+CH30+CL30+CP30+CT30+CX30+DA30+DD30+DG30+DJ30+DM30+DP30+DS30+DV30+DY30+EB30+EE30</f>
        <v>6897455.7200000007</v>
      </c>
      <c r="EI30" s="250">
        <f t="shared" si="18"/>
        <v>0</v>
      </c>
      <c r="EJ30" s="250">
        <f t="shared" si="18"/>
        <v>6897455.7200000007</v>
      </c>
      <c r="EK30" s="204">
        <f t="shared" si="10"/>
        <v>6897455.7200000007</v>
      </c>
      <c r="EL30" s="204">
        <f t="shared" si="11"/>
        <v>0</v>
      </c>
      <c r="EM30" s="255">
        <f t="shared" si="12"/>
        <v>13942.939999999478</v>
      </c>
      <c r="EN30" s="204">
        <f t="shared" si="13"/>
        <v>0</v>
      </c>
      <c r="EO30" s="204">
        <f t="shared" si="14"/>
        <v>-6897455.7200000007</v>
      </c>
      <c r="EP30" s="204"/>
      <c r="EQ30" s="55">
        <v>44926</v>
      </c>
      <c r="ER30" s="55">
        <v>45015</v>
      </c>
      <c r="ES30" s="18"/>
      <c r="ET30" s="47" t="s">
        <v>1366</v>
      </c>
      <c r="EU30" s="18"/>
      <c r="EV30" s="18"/>
      <c r="EW30" s="18"/>
      <c r="EX30" s="18"/>
      <c r="EY30" s="331">
        <f t="shared" si="15"/>
        <v>0.99798261673419375</v>
      </c>
      <c r="EZ30" s="332">
        <v>1</v>
      </c>
      <c r="FA30" s="336"/>
      <c r="FB30" s="336"/>
      <c r="FC30" s="369">
        <f>(AC30+EH30-EI30)/Z30</f>
        <v>0.99798261673419375</v>
      </c>
      <c r="FD30" s="338" t="s">
        <v>147</v>
      </c>
      <c r="FE30" s="47" t="s">
        <v>255</v>
      </c>
      <c r="FF30" s="47"/>
      <c r="FG30" s="47" t="s">
        <v>138</v>
      </c>
      <c r="FH30" s="47" t="s">
        <v>148</v>
      </c>
      <c r="FI30" s="25">
        <v>4000</v>
      </c>
      <c r="FJ30" s="51" t="s">
        <v>1370</v>
      </c>
    </row>
    <row r="31" spans="1:166" ht="207" hidden="1" customHeight="1">
      <c r="A31" s="15">
        <v>16</v>
      </c>
      <c r="B31" s="294" t="s">
        <v>980</v>
      </c>
      <c r="C31" s="294" t="s">
        <v>980</v>
      </c>
      <c r="D31" s="17"/>
      <c r="E31" s="17"/>
      <c r="F31" s="20">
        <v>121888</v>
      </c>
      <c r="G31" s="275" t="s">
        <v>1161</v>
      </c>
      <c r="H31" s="19"/>
      <c r="I31" s="19"/>
      <c r="J31" s="18" t="s">
        <v>230</v>
      </c>
      <c r="K31" s="18" t="s">
        <v>218</v>
      </c>
      <c r="L31" s="18" t="s">
        <v>224</v>
      </c>
      <c r="M31" s="47" t="s">
        <v>225</v>
      </c>
      <c r="N31" s="18" t="s">
        <v>226</v>
      </c>
      <c r="O31" s="47" t="s">
        <v>1142</v>
      </c>
      <c r="P31" s="20" t="s">
        <v>1162</v>
      </c>
      <c r="Q31" s="21"/>
      <c r="R31" s="22"/>
      <c r="S31" s="22"/>
      <c r="T31" s="22"/>
      <c r="U31" s="22"/>
      <c r="V31" s="321">
        <v>44924</v>
      </c>
      <c r="W31" s="48">
        <v>44925</v>
      </c>
      <c r="X31" s="23">
        <f>3920457.41+705497.83</f>
        <v>4625955.24</v>
      </c>
      <c r="Y31" s="23">
        <f t="shared" si="4"/>
        <v>5366108.0784</v>
      </c>
      <c r="Z31" s="23">
        <v>5366108.08</v>
      </c>
      <c r="AA31" s="204">
        <f t="shared" si="9"/>
        <v>-5366108.08</v>
      </c>
      <c r="AB31" s="204">
        <v>0</v>
      </c>
      <c r="AC31" s="204">
        <v>0</v>
      </c>
      <c r="AD31" s="204">
        <v>2122265.7200000002</v>
      </c>
      <c r="AE31" s="204">
        <v>0</v>
      </c>
      <c r="AF31" s="50">
        <f>AD31-AE31</f>
        <v>2122265.7200000002</v>
      </c>
      <c r="AG31" s="253">
        <v>45002</v>
      </c>
      <c r="AH31" s="204">
        <v>2425156.12</v>
      </c>
      <c r="AI31" s="204">
        <v>0</v>
      </c>
      <c r="AJ31" s="204">
        <f>AH31-AI31</f>
        <v>2425156.12</v>
      </c>
      <c r="AK31" s="312" t="s">
        <v>1348</v>
      </c>
      <c r="AL31" s="204">
        <v>818153.8</v>
      </c>
      <c r="AM31" s="254">
        <v>0</v>
      </c>
      <c r="AN31" s="204">
        <f>AL31-AM31</f>
        <v>818153.8</v>
      </c>
      <c r="AO31" s="253" t="s">
        <v>1327</v>
      </c>
      <c r="AP31" s="204"/>
      <c r="AQ31" s="204"/>
      <c r="AR31" s="204"/>
      <c r="AS31" s="253"/>
      <c r="AT31" s="204"/>
      <c r="AU31" s="204"/>
      <c r="AV31" s="204"/>
      <c r="AW31" s="249"/>
      <c r="AX31" s="204"/>
      <c r="AY31" s="204"/>
      <c r="AZ31" s="204"/>
      <c r="BA31" s="204"/>
      <c r="BB31" s="204"/>
      <c r="BC31" s="204"/>
      <c r="BD31" s="204"/>
      <c r="BE31" s="204"/>
      <c r="BF31" s="204"/>
      <c r="BG31" s="204"/>
      <c r="BH31" s="204"/>
      <c r="BI31" s="204"/>
      <c r="BJ31" s="204"/>
      <c r="BK31" s="204"/>
      <c r="BL31" s="204"/>
      <c r="BM31" s="204"/>
      <c r="BN31" s="204"/>
      <c r="BO31" s="204"/>
      <c r="BP31" s="204"/>
      <c r="BQ31" s="204"/>
      <c r="BR31" s="204"/>
      <c r="BS31" s="204"/>
      <c r="BT31" s="204"/>
      <c r="BU31" s="204"/>
      <c r="BV31" s="204"/>
      <c r="BW31" s="204"/>
      <c r="BX31" s="204"/>
      <c r="BY31" s="204"/>
      <c r="BZ31" s="204"/>
      <c r="CA31" s="204"/>
      <c r="CB31" s="204"/>
      <c r="CC31" s="204"/>
      <c r="CD31" s="204"/>
      <c r="CE31" s="204"/>
      <c r="CF31" s="204"/>
      <c r="CG31" s="204"/>
      <c r="CH31" s="204"/>
      <c r="CI31" s="204"/>
      <c r="CJ31" s="204"/>
      <c r="CK31" s="204"/>
      <c r="CL31" s="204"/>
      <c r="CM31" s="204"/>
      <c r="CN31" s="204"/>
      <c r="CO31" s="204"/>
      <c r="CP31" s="204"/>
      <c r="CQ31" s="204"/>
      <c r="CR31" s="204"/>
      <c r="CS31" s="204"/>
      <c r="CT31" s="204"/>
      <c r="CU31" s="204"/>
      <c r="CV31" s="204"/>
      <c r="CW31" s="204"/>
      <c r="CX31" s="204"/>
      <c r="CY31" s="204"/>
      <c r="CZ31" s="204"/>
      <c r="DA31" s="204"/>
      <c r="DB31" s="204"/>
      <c r="DC31" s="204"/>
      <c r="DD31" s="204"/>
      <c r="DE31" s="204"/>
      <c r="DF31" s="204"/>
      <c r="DG31" s="204"/>
      <c r="DH31" s="204"/>
      <c r="DI31" s="204"/>
      <c r="DJ31" s="204"/>
      <c r="DK31" s="204"/>
      <c r="DL31" s="204"/>
      <c r="DM31" s="204"/>
      <c r="DN31" s="204"/>
      <c r="DO31" s="204"/>
      <c r="DP31" s="204"/>
      <c r="DQ31" s="204"/>
      <c r="DR31" s="204"/>
      <c r="DS31" s="204"/>
      <c r="DT31" s="204"/>
      <c r="DU31" s="204"/>
      <c r="DV31" s="204"/>
      <c r="DW31" s="204"/>
      <c r="DX31" s="204"/>
      <c r="DY31" s="204"/>
      <c r="DZ31" s="204"/>
      <c r="EA31" s="204"/>
      <c r="EB31" s="204"/>
      <c r="EC31" s="204"/>
      <c r="ED31" s="204"/>
      <c r="EE31" s="204"/>
      <c r="EF31" s="204"/>
      <c r="EG31" s="204"/>
      <c r="EH31" s="250">
        <f>AD31+AH31+AL31+AP31+AT31+AX31+BB31+BF31+BJ31+BN31+BR31+BV31+BZ31+CD31+CH31+CL31+CP31+CT31+CX31+DA31+DD31+DG31+DJ31+DM31+DP31+DS31+DV31+DY31+EB31+EE31</f>
        <v>5365575.6399999997</v>
      </c>
      <c r="EI31" s="250">
        <f>AE31+AI31+AM31+AQ31+AU31+AY31+BC31+BG31+BK31+BO31+BS31+BW31+CA31+CE31+CI31+CM31+CQ31+CU31+CY31+DB31+DE31+DH31+DK31+DN31+DQ31+DT31+DW31+DZ31+EC31+EF31</f>
        <v>0</v>
      </c>
      <c r="EJ31" s="250">
        <f>AF31+AJ31+AN31+AR31+AV31+AZ31+BD31+BH31+BL31+BP31+BT31+BX31+CB31+CF31+CJ31+CN31+CR31+CV31+CZ31+DC31+DF31+DI31+DL31+DO31+DR31+DU31+DX31+EA31+ED31+EG31</f>
        <v>5365575.6399999997</v>
      </c>
      <c r="EK31" s="204">
        <f>EH31+AC31-EI31</f>
        <v>5365575.6399999997</v>
      </c>
      <c r="EL31" s="204">
        <f>AC31-EI31</f>
        <v>0</v>
      </c>
      <c r="EM31" s="255">
        <f>Z31-EH31</f>
        <v>532.44000000040978</v>
      </c>
      <c r="EN31" s="204">
        <f>EH31-EJ31</f>
        <v>0</v>
      </c>
      <c r="EO31" s="204">
        <f>+AA31+EM31</f>
        <v>-5365575.6399999997</v>
      </c>
      <c r="EP31" s="204"/>
      <c r="EQ31" s="55">
        <v>44926</v>
      </c>
      <c r="ER31" s="55">
        <v>45015</v>
      </c>
      <c r="ES31" s="416">
        <v>818377.48</v>
      </c>
      <c r="ET31" s="47" t="s">
        <v>1364</v>
      </c>
      <c r="EU31" s="18"/>
      <c r="EV31" s="18"/>
      <c r="EW31" s="18"/>
      <c r="EX31" s="18"/>
      <c r="EY31" s="331">
        <f t="shared" si="15"/>
        <v>0.99990077725009219</v>
      </c>
      <c r="EZ31" s="332">
        <v>1</v>
      </c>
      <c r="FA31" s="336"/>
      <c r="FB31" s="336"/>
      <c r="FC31" s="369">
        <f>(AC31+EH31-EI31)/Z31</f>
        <v>0.99990077725009219</v>
      </c>
      <c r="FD31" s="338" t="s">
        <v>147</v>
      </c>
      <c r="FE31" s="47" t="s">
        <v>219</v>
      </c>
      <c r="FF31" s="47"/>
      <c r="FG31" s="47" t="s">
        <v>138</v>
      </c>
      <c r="FH31" s="47" t="s">
        <v>148</v>
      </c>
      <c r="FI31" s="25"/>
      <c r="FJ31" s="51" t="s">
        <v>1365</v>
      </c>
    </row>
    <row r="32" spans="1:166" s="214" customFormat="1" ht="80.25" hidden="1" customHeight="1">
      <c r="A32" s="60"/>
      <c r="B32" s="211"/>
      <c r="C32" s="212"/>
      <c r="D32" s="61"/>
      <c r="E32" s="61"/>
      <c r="F32" s="62"/>
      <c r="G32" s="63"/>
      <c r="H32" s="64">
        <v>70000000</v>
      </c>
      <c r="I32" s="64">
        <v>70000000</v>
      </c>
      <c r="J32" s="63" t="s">
        <v>1012</v>
      </c>
      <c r="K32" s="63"/>
      <c r="L32" s="63"/>
      <c r="M32" s="62"/>
      <c r="N32" s="63"/>
      <c r="O32" s="62"/>
      <c r="P32" s="65"/>
      <c r="Q32" s="66"/>
      <c r="R32" s="67"/>
      <c r="S32" s="67"/>
      <c r="T32" s="67"/>
      <c r="U32" s="67"/>
      <c r="V32" s="68"/>
      <c r="W32" s="68"/>
      <c r="X32" s="213"/>
      <c r="Y32" s="213"/>
      <c r="Z32" s="213">
        <f>Z28+Z31+Z29+Z30</f>
        <v>24504191.399999999</v>
      </c>
      <c r="AA32" s="213">
        <f>+AA28+AA31</f>
        <v>-12280219.129999999</v>
      </c>
      <c r="AB32" s="213">
        <f>+AB28+AB31</f>
        <v>0</v>
      </c>
      <c r="AC32" s="213">
        <f>+AC28+AC31</f>
        <v>0</v>
      </c>
      <c r="AD32" s="255"/>
      <c r="AE32" s="255"/>
      <c r="AF32" s="256"/>
      <c r="AG32" s="257"/>
      <c r="AH32" s="255"/>
      <c r="AI32" s="255"/>
      <c r="AJ32" s="255"/>
      <c r="AK32" s="257"/>
      <c r="AL32" s="256"/>
      <c r="AM32" s="258"/>
      <c r="AN32" s="255"/>
      <c r="AO32" s="257"/>
      <c r="AP32" s="255"/>
      <c r="AQ32" s="255"/>
      <c r="AR32" s="255"/>
      <c r="AS32" s="257"/>
      <c r="AT32" s="255"/>
      <c r="AU32" s="255"/>
      <c r="AV32" s="255"/>
      <c r="AW32" s="259"/>
      <c r="AX32" s="255"/>
      <c r="AY32" s="255"/>
      <c r="AZ32" s="255"/>
      <c r="BA32" s="255"/>
      <c r="BB32" s="255"/>
      <c r="BC32" s="255"/>
      <c r="BD32" s="255"/>
      <c r="BE32" s="255"/>
      <c r="BF32" s="255"/>
      <c r="BG32" s="255"/>
      <c r="BH32" s="255"/>
      <c r="BI32" s="255"/>
      <c r="BJ32" s="255"/>
      <c r="BK32" s="255"/>
      <c r="BL32" s="255"/>
      <c r="BM32" s="255"/>
      <c r="BN32" s="255"/>
      <c r="BO32" s="255"/>
      <c r="BP32" s="255"/>
      <c r="BQ32" s="255"/>
      <c r="BR32" s="255"/>
      <c r="BS32" s="255"/>
      <c r="BT32" s="255"/>
      <c r="BU32" s="255"/>
      <c r="BV32" s="255"/>
      <c r="BW32" s="255"/>
      <c r="BX32" s="255"/>
      <c r="BY32" s="255"/>
      <c r="BZ32" s="255"/>
      <c r="CA32" s="255"/>
      <c r="CB32" s="255"/>
      <c r="CC32" s="255"/>
      <c r="CD32" s="255"/>
      <c r="CE32" s="255"/>
      <c r="CF32" s="255"/>
      <c r="CG32" s="255"/>
      <c r="CH32" s="255"/>
      <c r="CI32" s="255"/>
      <c r="CJ32" s="255"/>
      <c r="CK32" s="255"/>
      <c r="CL32" s="255"/>
      <c r="CM32" s="255"/>
      <c r="CN32" s="255"/>
      <c r="CO32" s="255"/>
      <c r="CP32" s="255"/>
      <c r="CQ32" s="255"/>
      <c r="CR32" s="255"/>
      <c r="CS32" s="255"/>
      <c r="CT32" s="255"/>
      <c r="CU32" s="255"/>
      <c r="CV32" s="255"/>
      <c r="CW32" s="255"/>
      <c r="CX32" s="255"/>
      <c r="CY32" s="255"/>
      <c r="CZ32" s="255"/>
      <c r="DA32" s="255"/>
      <c r="DB32" s="255"/>
      <c r="DC32" s="255"/>
      <c r="DD32" s="255"/>
      <c r="DE32" s="255"/>
      <c r="DF32" s="255"/>
      <c r="DG32" s="255"/>
      <c r="DH32" s="255"/>
      <c r="DI32" s="255"/>
      <c r="DJ32" s="255"/>
      <c r="DK32" s="255"/>
      <c r="DL32" s="255"/>
      <c r="DM32" s="255"/>
      <c r="DN32" s="255"/>
      <c r="DO32" s="255"/>
      <c r="DP32" s="255"/>
      <c r="DQ32" s="255"/>
      <c r="DR32" s="255"/>
      <c r="DS32" s="255"/>
      <c r="DT32" s="255"/>
      <c r="DU32" s="255"/>
      <c r="DV32" s="255"/>
      <c r="DW32" s="255"/>
      <c r="DX32" s="255"/>
      <c r="DY32" s="255"/>
      <c r="DZ32" s="255"/>
      <c r="EA32" s="255"/>
      <c r="EB32" s="255"/>
      <c r="EC32" s="255"/>
      <c r="ED32" s="255"/>
      <c r="EE32" s="255"/>
      <c r="EF32" s="255"/>
      <c r="EG32" s="255"/>
      <c r="EH32" s="213">
        <f t="shared" ref="EH32:EO32" si="20">+EH28+EH31</f>
        <v>12271414.699999999</v>
      </c>
      <c r="EI32" s="213">
        <f t="shared" si="20"/>
        <v>0</v>
      </c>
      <c r="EJ32" s="213">
        <f t="shared" si="20"/>
        <v>12271414.699999999</v>
      </c>
      <c r="EK32" s="213">
        <f t="shared" si="20"/>
        <v>12271414.699999999</v>
      </c>
      <c r="EL32" s="213">
        <f t="shared" si="20"/>
        <v>0</v>
      </c>
      <c r="EM32" s="213">
        <f t="shared" si="20"/>
        <v>8804.429999999702</v>
      </c>
      <c r="EN32" s="213">
        <f t="shared" si="20"/>
        <v>0</v>
      </c>
      <c r="EO32" s="213">
        <f t="shared" si="20"/>
        <v>-12271414.699999999</v>
      </c>
      <c r="EP32" s="255"/>
      <c r="EQ32" s="216"/>
      <c r="ER32" s="216"/>
      <c r="ES32" s="63"/>
      <c r="ET32" s="63"/>
      <c r="EU32" s="63"/>
      <c r="EV32" s="63"/>
      <c r="EW32" s="63"/>
      <c r="EX32" s="63"/>
      <c r="EY32" s="63"/>
      <c r="EZ32" s="339">
        <f>((EZ28*Z28)+(EZ29*Z29)+(EZ30*Z30)+(EZ31*Z31))/Z32</f>
        <v>1</v>
      </c>
      <c r="FA32" s="341">
        <f>(FA28*AA28)+(FA31*AA31)/AA32</f>
        <v>0</v>
      </c>
      <c r="FB32" s="341" t="e">
        <f>(FB28*AB28)+(FB31*AB31)/AB32</f>
        <v>#DIV/0!</v>
      </c>
      <c r="FC32" s="339">
        <f>((FC28*Z28)+(FC29*Z29)+(FC30*Z30)+(FC31*Z31))/Z32</f>
        <v>0.99887996263365786</v>
      </c>
      <c r="FD32" s="340" t="s">
        <v>149</v>
      </c>
      <c r="FE32" s="62"/>
      <c r="FF32" s="62"/>
      <c r="FG32" s="62"/>
      <c r="FH32" s="62"/>
      <c r="FI32" s="69"/>
      <c r="FJ32" s="62" t="s">
        <v>667</v>
      </c>
    </row>
    <row r="33" spans="1:166" ht="229.5" hidden="1" customHeight="1">
      <c r="A33" s="15">
        <v>17</v>
      </c>
      <c r="B33" s="294" t="s">
        <v>981</v>
      </c>
      <c r="C33" s="294" t="s">
        <v>981</v>
      </c>
      <c r="D33" s="298"/>
      <c r="E33" s="298"/>
      <c r="F33" s="290">
        <v>121887</v>
      </c>
      <c r="G33" s="275" t="s">
        <v>1051</v>
      </c>
      <c r="H33" s="19"/>
      <c r="I33" s="19"/>
      <c r="J33" s="18" t="s">
        <v>230</v>
      </c>
      <c r="K33" s="18" t="s">
        <v>1049</v>
      </c>
      <c r="L33" s="18" t="s">
        <v>436</v>
      </c>
      <c r="M33" s="47" t="s">
        <v>299</v>
      </c>
      <c r="N33" s="18" t="s">
        <v>1050</v>
      </c>
      <c r="O33" s="47" t="s">
        <v>1017</v>
      </c>
      <c r="P33" s="20" t="s">
        <v>1104</v>
      </c>
      <c r="Q33" s="21"/>
      <c r="R33" s="22"/>
      <c r="S33" s="22"/>
      <c r="T33" s="22"/>
      <c r="U33" s="22"/>
      <c r="V33" s="48"/>
      <c r="W33" s="48">
        <v>44873</v>
      </c>
      <c r="X33" s="23">
        <f>16808902.95+1637333.64</f>
        <v>18446236.59</v>
      </c>
      <c r="Y33" s="23">
        <f t="shared" si="4"/>
        <v>21397634.444399998</v>
      </c>
      <c r="Z33" s="23">
        <v>21397634.440000001</v>
      </c>
      <c r="AA33" s="204">
        <f t="shared" si="9"/>
        <v>-21397634.440000001</v>
      </c>
      <c r="AB33" s="204">
        <v>0</v>
      </c>
      <c r="AC33" s="204">
        <v>0</v>
      </c>
      <c r="AD33" s="250">
        <v>3092554.36</v>
      </c>
      <c r="AE33" s="204">
        <v>0</v>
      </c>
      <c r="AF33" s="50">
        <f>AD33-AE33</f>
        <v>3092554.36</v>
      </c>
      <c r="AG33" s="253">
        <v>44937</v>
      </c>
      <c r="AH33" s="250">
        <v>2238806.9900000002</v>
      </c>
      <c r="AI33" s="204">
        <v>0</v>
      </c>
      <c r="AJ33" s="204">
        <f>AH33-AI33</f>
        <v>2238806.9900000002</v>
      </c>
      <c r="AK33" s="253">
        <v>44985</v>
      </c>
      <c r="AL33" s="50">
        <v>206897.25</v>
      </c>
      <c r="AM33" s="254">
        <v>0</v>
      </c>
      <c r="AN33" s="204">
        <f>AL33-AM33</f>
        <v>206897.25</v>
      </c>
      <c r="AO33" s="253">
        <v>45016</v>
      </c>
      <c r="AP33" s="204">
        <v>7030610.9199999999</v>
      </c>
      <c r="AQ33" s="204">
        <v>0</v>
      </c>
      <c r="AR33" s="204">
        <f>AP33-AQ33</f>
        <v>7030610.9199999999</v>
      </c>
      <c r="AS33" s="419">
        <v>45049</v>
      </c>
      <c r="AT33" s="204">
        <v>6929457.7800000003</v>
      </c>
      <c r="AU33" s="204">
        <v>0</v>
      </c>
      <c r="AV33" s="204">
        <f>AT33-AU33</f>
        <v>6929457.7800000003</v>
      </c>
      <c r="AW33" s="249"/>
      <c r="AX33" s="204">
        <v>0</v>
      </c>
      <c r="AY33" s="204">
        <v>0</v>
      </c>
      <c r="AZ33" s="204">
        <v>0</v>
      </c>
      <c r="BA33" s="204" t="s">
        <v>305</v>
      </c>
      <c r="BB33" s="23">
        <v>1899255.07</v>
      </c>
      <c r="BC33" s="204">
        <v>0</v>
      </c>
      <c r="BD33" s="204">
        <f>BB33-BC33</f>
        <v>1899255.07</v>
      </c>
      <c r="BE33" s="204" t="s">
        <v>1327</v>
      </c>
      <c r="BF33" s="204"/>
      <c r="BG33" s="204"/>
      <c r="BH33" s="204"/>
      <c r="BI33" s="204"/>
      <c r="BJ33" s="204"/>
      <c r="BK33" s="204"/>
      <c r="BL33" s="204"/>
      <c r="BM33" s="204"/>
      <c r="BN33" s="204"/>
      <c r="BO33" s="204"/>
      <c r="BP33" s="204"/>
      <c r="BQ33" s="204"/>
      <c r="BR33" s="204"/>
      <c r="BS33" s="204"/>
      <c r="BT33" s="204"/>
      <c r="BU33" s="204"/>
      <c r="BV33" s="204"/>
      <c r="BW33" s="204"/>
      <c r="BX33" s="204"/>
      <c r="BY33" s="204"/>
      <c r="BZ33" s="204"/>
      <c r="CA33" s="204"/>
      <c r="CB33" s="204"/>
      <c r="CC33" s="204"/>
      <c r="CD33" s="204"/>
      <c r="CE33" s="204"/>
      <c r="CF33" s="204"/>
      <c r="CG33" s="204"/>
      <c r="CH33" s="204"/>
      <c r="CI33" s="204"/>
      <c r="CJ33" s="204"/>
      <c r="CK33" s="204"/>
      <c r="CL33" s="204"/>
      <c r="CM33" s="204"/>
      <c r="CN33" s="204"/>
      <c r="CO33" s="204"/>
      <c r="CP33" s="204"/>
      <c r="CQ33" s="204"/>
      <c r="CR33" s="204"/>
      <c r="CS33" s="204"/>
      <c r="CT33" s="204"/>
      <c r="CU33" s="204"/>
      <c r="CV33" s="204"/>
      <c r="CW33" s="204"/>
      <c r="CX33" s="204"/>
      <c r="CY33" s="204"/>
      <c r="CZ33" s="204"/>
      <c r="DA33" s="204"/>
      <c r="DB33" s="204"/>
      <c r="DC33" s="204"/>
      <c r="DD33" s="204"/>
      <c r="DE33" s="204"/>
      <c r="DF33" s="204"/>
      <c r="DG33" s="204"/>
      <c r="DH33" s="204"/>
      <c r="DI33" s="204"/>
      <c r="DJ33" s="204"/>
      <c r="DK33" s="204"/>
      <c r="DL33" s="204"/>
      <c r="DM33" s="204"/>
      <c r="DN33" s="204"/>
      <c r="DO33" s="204"/>
      <c r="DP33" s="204"/>
      <c r="DQ33" s="204"/>
      <c r="DR33" s="204"/>
      <c r="DS33" s="204"/>
      <c r="DT33" s="204"/>
      <c r="DU33" s="204"/>
      <c r="DV33" s="204"/>
      <c r="DW33" s="204"/>
      <c r="DX33" s="204"/>
      <c r="DY33" s="204"/>
      <c r="DZ33" s="204"/>
      <c r="EA33" s="204"/>
      <c r="EB33" s="204"/>
      <c r="EC33" s="204"/>
      <c r="ED33" s="204"/>
      <c r="EE33" s="204"/>
      <c r="EF33" s="204"/>
      <c r="EG33" s="204"/>
      <c r="EH33" s="250">
        <f>AD33+AH33+AL33+AP33+AT33+AX33+BB33+BF33+BJ33+BN33+BR33+BV33+BZ33+CD33+CH33+CL33+CP33+CT33+CX33+DA33+DD33+DG33+DJ33+DM33+DP33+DS33+DV33+DY33+EB33+EE33</f>
        <v>21397582.370000001</v>
      </c>
      <c r="EI33" s="250">
        <f t="shared" si="18"/>
        <v>0</v>
      </c>
      <c r="EJ33" s="250">
        <f t="shared" si="18"/>
        <v>21397582.370000001</v>
      </c>
      <c r="EK33" s="204">
        <f t="shared" si="10"/>
        <v>21397582.370000001</v>
      </c>
      <c r="EL33" s="204">
        <f>AC33-EI33</f>
        <v>0</v>
      </c>
      <c r="EM33" s="255">
        <f t="shared" si="12"/>
        <v>52.070000000298023</v>
      </c>
      <c r="EN33" s="204">
        <f t="shared" si="13"/>
        <v>0</v>
      </c>
      <c r="EO33" s="204">
        <f t="shared" si="14"/>
        <v>-21397582.370000001</v>
      </c>
      <c r="EP33" s="204"/>
      <c r="EQ33" s="55">
        <v>44874</v>
      </c>
      <c r="ER33" s="55">
        <v>44628</v>
      </c>
      <c r="ES33" s="422">
        <v>1899307.02</v>
      </c>
      <c r="ET33" s="47" t="s">
        <v>1371</v>
      </c>
      <c r="EU33" s="18"/>
      <c r="EV33" s="18"/>
      <c r="EW33" s="18"/>
      <c r="EX33" s="18"/>
      <c r="EY33" s="331">
        <f t="shared" si="15"/>
        <v>0.9999975665534363</v>
      </c>
      <c r="EZ33" s="332">
        <v>0.99</v>
      </c>
      <c r="FA33" s="336"/>
      <c r="FB33" s="336"/>
      <c r="FC33" s="337">
        <f>(AC33+EH33-EI33)/Z33</f>
        <v>0.9999975665534363</v>
      </c>
      <c r="FD33" s="338" t="s">
        <v>147</v>
      </c>
      <c r="FE33" s="47" t="s">
        <v>248</v>
      </c>
      <c r="FF33" s="47"/>
      <c r="FG33" s="47" t="s">
        <v>161</v>
      </c>
      <c r="FH33" s="307" t="s">
        <v>169</v>
      </c>
      <c r="FI33" s="25"/>
      <c r="FJ33" s="51" t="s">
        <v>1386</v>
      </c>
    </row>
    <row r="34" spans="1:166" ht="237" hidden="1" customHeight="1">
      <c r="A34" s="15">
        <v>18</v>
      </c>
      <c r="B34" s="294" t="s">
        <v>981</v>
      </c>
      <c r="C34" s="294" t="s">
        <v>981</v>
      </c>
      <c r="D34" s="53"/>
      <c r="E34" s="300"/>
      <c r="F34" s="290">
        <v>121887</v>
      </c>
      <c r="G34" s="275" t="s">
        <v>1125</v>
      </c>
      <c r="H34" s="19"/>
      <c r="I34" s="19"/>
      <c r="J34" s="18" t="s">
        <v>230</v>
      </c>
      <c r="K34" s="18" t="s">
        <v>1052</v>
      </c>
      <c r="L34" s="18" t="s">
        <v>1053</v>
      </c>
      <c r="M34" s="47" t="s">
        <v>1054</v>
      </c>
      <c r="N34" s="18" t="s">
        <v>1055</v>
      </c>
      <c r="O34" s="47">
        <v>5552640727</v>
      </c>
      <c r="P34" s="20" t="s">
        <v>1112</v>
      </c>
      <c r="Q34" s="21"/>
      <c r="R34" s="22"/>
      <c r="S34" s="22"/>
      <c r="T34" s="22"/>
      <c r="U34" s="22"/>
      <c r="V34" s="48"/>
      <c r="W34" s="48">
        <v>44865</v>
      </c>
      <c r="X34" s="23">
        <v>6016599.9699999997</v>
      </c>
      <c r="Y34" s="23">
        <f t="shared" si="4"/>
        <v>6979255.9651999995</v>
      </c>
      <c r="Z34" s="23">
        <v>6979255.9699999997</v>
      </c>
      <c r="AA34" s="204">
        <f t="shared" si="9"/>
        <v>-6979255.9699999997</v>
      </c>
      <c r="AB34" s="204">
        <v>2093776.79</v>
      </c>
      <c r="AC34" s="204">
        <v>2093776.79</v>
      </c>
      <c r="AD34" s="204">
        <v>2388541.14</v>
      </c>
      <c r="AE34" s="204">
        <v>716562.34</v>
      </c>
      <c r="AF34" s="50">
        <f>AD34-AE34</f>
        <v>1671978.8000000003</v>
      </c>
      <c r="AG34" s="253">
        <v>45016</v>
      </c>
      <c r="AH34" s="204"/>
      <c r="AI34" s="204"/>
      <c r="AJ34" s="204"/>
      <c r="AK34" s="253"/>
      <c r="AL34" s="50"/>
      <c r="AM34" s="254"/>
      <c r="AN34" s="204"/>
      <c r="AO34" s="253"/>
      <c r="AP34" s="204"/>
      <c r="AQ34" s="204"/>
      <c r="AR34" s="204"/>
      <c r="AS34" s="253"/>
      <c r="AT34" s="204"/>
      <c r="AU34" s="204"/>
      <c r="AV34" s="204"/>
      <c r="AW34" s="249"/>
      <c r="AX34" s="204"/>
      <c r="AY34" s="204"/>
      <c r="AZ34" s="204"/>
      <c r="BA34" s="204"/>
      <c r="BB34" s="204"/>
      <c r="BC34" s="204"/>
      <c r="BD34" s="204"/>
      <c r="BE34" s="204"/>
      <c r="BF34" s="204"/>
      <c r="BG34" s="204"/>
      <c r="BH34" s="204"/>
      <c r="BI34" s="204"/>
      <c r="BJ34" s="204"/>
      <c r="BK34" s="204"/>
      <c r="BL34" s="204"/>
      <c r="BM34" s="204"/>
      <c r="BN34" s="204"/>
      <c r="BO34" s="204"/>
      <c r="BP34" s="204"/>
      <c r="BQ34" s="204"/>
      <c r="BR34" s="204"/>
      <c r="BS34" s="204"/>
      <c r="BT34" s="204"/>
      <c r="BU34" s="204"/>
      <c r="BV34" s="204"/>
      <c r="BW34" s="204"/>
      <c r="BX34" s="204"/>
      <c r="BY34" s="204"/>
      <c r="BZ34" s="204"/>
      <c r="CA34" s="204"/>
      <c r="CB34" s="204"/>
      <c r="CC34" s="204"/>
      <c r="CD34" s="204"/>
      <c r="CE34" s="204"/>
      <c r="CF34" s="204"/>
      <c r="CG34" s="204"/>
      <c r="CH34" s="204"/>
      <c r="CI34" s="204"/>
      <c r="CJ34" s="204"/>
      <c r="CK34" s="204"/>
      <c r="CL34" s="204"/>
      <c r="CM34" s="204"/>
      <c r="CN34" s="204"/>
      <c r="CO34" s="204"/>
      <c r="CP34" s="204"/>
      <c r="CQ34" s="204"/>
      <c r="CR34" s="204"/>
      <c r="CS34" s="204"/>
      <c r="CT34" s="204"/>
      <c r="CU34" s="204"/>
      <c r="CV34" s="204"/>
      <c r="CW34" s="204"/>
      <c r="CX34" s="204"/>
      <c r="CY34" s="204"/>
      <c r="CZ34" s="204"/>
      <c r="DA34" s="204"/>
      <c r="DB34" s="204"/>
      <c r="DC34" s="204"/>
      <c r="DD34" s="204"/>
      <c r="DE34" s="204"/>
      <c r="DF34" s="204"/>
      <c r="DG34" s="204"/>
      <c r="DH34" s="204"/>
      <c r="DI34" s="204"/>
      <c r="DJ34" s="204"/>
      <c r="DK34" s="204"/>
      <c r="DL34" s="204"/>
      <c r="DM34" s="204"/>
      <c r="DN34" s="204"/>
      <c r="DO34" s="204"/>
      <c r="DP34" s="204"/>
      <c r="DQ34" s="204"/>
      <c r="DR34" s="204"/>
      <c r="DS34" s="204"/>
      <c r="DT34" s="204"/>
      <c r="DU34" s="204"/>
      <c r="DV34" s="204"/>
      <c r="DW34" s="204"/>
      <c r="DX34" s="204"/>
      <c r="DY34" s="204"/>
      <c r="DZ34" s="204"/>
      <c r="EA34" s="204"/>
      <c r="EB34" s="204"/>
      <c r="EC34" s="204"/>
      <c r="ED34" s="204"/>
      <c r="EE34" s="204"/>
      <c r="EF34" s="204"/>
      <c r="EG34" s="204"/>
      <c r="EH34" s="250">
        <f>AD34+AH34+AL34+AP34+AT34+AX34+BB34+BF34+BJ34+BN34+BR34+BV34+BZ34+CD34+CH34+CL34+CP34+CT34+CX34+DA34+DD34+DG34+DJ34+DM34+DP34+DS34+DV34+DY34+EB34+EE34</f>
        <v>2388541.14</v>
      </c>
      <c r="EI34" s="250">
        <f>AE34+AI34+AM34+AQ34+AU34+AY34+BC34+BG34+BK34+BO34+BS34+BW34+CA34+CE34+CI34+CM34+CQ34+CU34+CY34+DB34+DE34+DH34+DK34+DN34+DQ34+DT34+DW34+DZ34+EC34+EF34</f>
        <v>716562.34</v>
      </c>
      <c r="EJ34" s="250">
        <f>AF34+AJ34+AN34+AR34+AV34+AZ34+BD34+BH34+BL34+BP34+BT34+BX34+CB34+CF34+CJ34+CN34+CR34+CV34+CZ34+DC34+DF34+DI34+DL34+DO34+DR34+DU34+DX34+EA34+ED34+EG34</f>
        <v>1671978.8000000003</v>
      </c>
      <c r="EK34" s="204">
        <f>EH34+AC34-EI34</f>
        <v>3765755.59</v>
      </c>
      <c r="EL34" s="204">
        <f>AC34-EI34</f>
        <v>1377214.4500000002</v>
      </c>
      <c r="EM34" s="255">
        <f>Z34-EH34</f>
        <v>4590714.83</v>
      </c>
      <c r="EN34" s="204">
        <f>EH34-EJ34</f>
        <v>716562.33999999985</v>
      </c>
      <c r="EO34" s="204">
        <f>+AA34+EM34</f>
        <v>-2388541.1399999997</v>
      </c>
      <c r="EP34" s="204"/>
      <c r="EQ34" s="55">
        <v>44866</v>
      </c>
      <c r="ER34" s="55">
        <v>44985</v>
      </c>
      <c r="ES34" s="18"/>
      <c r="ET34" s="18"/>
      <c r="EU34" s="18"/>
      <c r="EV34" s="18"/>
      <c r="EW34" s="18"/>
      <c r="EX34" s="18"/>
      <c r="EY34" s="331">
        <f t="shared" si="15"/>
        <v>0.34223435137886199</v>
      </c>
      <c r="EZ34" s="332">
        <v>1</v>
      </c>
      <c r="FA34" s="336"/>
      <c r="FB34" s="336"/>
      <c r="FC34" s="337">
        <f>(AC34+EH34-EI34)/Z34</f>
        <v>0.53956404610848507</v>
      </c>
      <c r="FD34" s="338" t="s">
        <v>147</v>
      </c>
      <c r="FE34" s="47" t="s">
        <v>168</v>
      </c>
      <c r="FF34" s="47"/>
      <c r="FG34" s="47" t="s">
        <v>150</v>
      </c>
      <c r="FH34" s="307" t="s">
        <v>169</v>
      </c>
      <c r="FI34" s="25"/>
      <c r="FJ34" s="51" t="s">
        <v>962</v>
      </c>
    </row>
    <row r="35" spans="1:166" ht="214.5" hidden="1" customHeight="1">
      <c r="A35" s="15">
        <v>19</v>
      </c>
      <c r="B35" s="294" t="s">
        <v>981</v>
      </c>
      <c r="C35" s="294" t="s">
        <v>981</v>
      </c>
      <c r="D35" s="17"/>
      <c r="E35" s="298"/>
      <c r="F35" s="290">
        <v>121887</v>
      </c>
      <c r="G35" s="275" t="s">
        <v>1120</v>
      </c>
      <c r="H35" s="19"/>
      <c r="I35" s="19"/>
      <c r="J35" s="18" t="s">
        <v>230</v>
      </c>
      <c r="K35" s="18" t="s">
        <v>1126</v>
      </c>
      <c r="L35" s="18" t="s">
        <v>1127</v>
      </c>
      <c r="M35" s="47" t="s">
        <v>1128</v>
      </c>
      <c r="N35" s="18" t="s">
        <v>1129</v>
      </c>
      <c r="O35" s="47">
        <v>7225904458</v>
      </c>
      <c r="P35" s="20" t="s">
        <v>1184</v>
      </c>
      <c r="Q35" s="21"/>
      <c r="R35" s="22"/>
      <c r="S35" s="22"/>
      <c r="T35" s="22"/>
      <c r="U35" s="22"/>
      <c r="V35" s="48"/>
      <c r="W35" s="48">
        <v>44922</v>
      </c>
      <c r="X35" s="23">
        <v>7318451.4000000004</v>
      </c>
      <c r="Y35" s="23">
        <f t="shared" si="4"/>
        <v>8489403.6239999998</v>
      </c>
      <c r="Z35" s="23">
        <v>8489403.6199999992</v>
      </c>
      <c r="AA35" s="204">
        <f t="shared" si="9"/>
        <v>-8489403.6199999992</v>
      </c>
      <c r="AB35" s="204">
        <v>0</v>
      </c>
      <c r="AC35" s="204">
        <v>0</v>
      </c>
      <c r="AD35" s="50">
        <v>1539093.67</v>
      </c>
      <c r="AE35" s="204">
        <v>0</v>
      </c>
      <c r="AF35" s="50">
        <f>AD35-AE35</f>
        <v>1539093.67</v>
      </c>
      <c r="AG35" s="407">
        <v>45015</v>
      </c>
      <c r="AH35" s="204">
        <v>1756640.8</v>
      </c>
      <c r="AI35" s="204">
        <v>0</v>
      </c>
      <c r="AJ35" s="204">
        <f>AH35-AI35</f>
        <v>1756640.8</v>
      </c>
      <c r="AK35" s="253"/>
      <c r="AL35" s="390">
        <v>3175504.49</v>
      </c>
      <c r="AM35" s="391">
        <v>0</v>
      </c>
      <c r="AN35" s="392">
        <f>AL35-AM35</f>
        <v>3175504.49</v>
      </c>
      <c r="AO35" s="253"/>
      <c r="AP35" s="204">
        <v>2016410.58</v>
      </c>
      <c r="AQ35" s="204">
        <v>0</v>
      </c>
      <c r="AR35" s="204">
        <f>AP35-AQ35</f>
        <v>2016410.58</v>
      </c>
      <c r="AS35" s="253"/>
      <c r="AT35" s="204"/>
      <c r="AU35" s="204"/>
      <c r="AV35" s="204"/>
      <c r="AW35" s="249"/>
      <c r="AX35" s="204"/>
      <c r="AY35" s="204"/>
      <c r="AZ35" s="204"/>
      <c r="BA35" s="204"/>
      <c r="BB35" s="204"/>
      <c r="BC35" s="204"/>
      <c r="BD35" s="204"/>
      <c r="BE35" s="204"/>
      <c r="BF35" s="204"/>
      <c r="BG35" s="204"/>
      <c r="BH35" s="204"/>
      <c r="BI35" s="204"/>
      <c r="BJ35" s="204"/>
      <c r="BK35" s="204"/>
      <c r="BL35" s="204"/>
      <c r="BM35" s="204"/>
      <c r="BN35" s="204"/>
      <c r="BO35" s="204"/>
      <c r="BP35" s="204"/>
      <c r="BQ35" s="204"/>
      <c r="BR35" s="204"/>
      <c r="BS35" s="204"/>
      <c r="BT35" s="204"/>
      <c r="BU35" s="204"/>
      <c r="BV35" s="204"/>
      <c r="BW35" s="204"/>
      <c r="BX35" s="204"/>
      <c r="BY35" s="204"/>
      <c r="BZ35" s="204"/>
      <c r="CA35" s="204"/>
      <c r="CB35" s="204"/>
      <c r="CC35" s="204"/>
      <c r="CD35" s="204"/>
      <c r="CE35" s="204"/>
      <c r="CF35" s="204"/>
      <c r="CG35" s="204"/>
      <c r="CH35" s="204"/>
      <c r="CI35" s="204"/>
      <c r="CJ35" s="204"/>
      <c r="CK35" s="204"/>
      <c r="CL35" s="204"/>
      <c r="CM35" s="204"/>
      <c r="CN35" s="204"/>
      <c r="CO35" s="204"/>
      <c r="CP35" s="204"/>
      <c r="CQ35" s="204"/>
      <c r="CR35" s="204"/>
      <c r="CS35" s="204"/>
      <c r="CT35" s="204"/>
      <c r="CU35" s="204"/>
      <c r="CV35" s="204"/>
      <c r="CW35" s="204"/>
      <c r="CX35" s="204"/>
      <c r="CY35" s="204"/>
      <c r="CZ35" s="204"/>
      <c r="DA35" s="204"/>
      <c r="DB35" s="204"/>
      <c r="DC35" s="204"/>
      <c r="DD35" s="204"/>
      <c r="DE35" s="204"/>
      <c r="DF35" s="204"/>
      <c r="DG35" s="204"/>
      <c r="DH35" s="204"/>
      <c r="DI35" s="204"/>
      <c r="DJ35" s="204"/>
      <c r="DK35" s="204"/>
      <c r="DL35" s="204"/>
      <c r="DM35" s="204"/>
      <c r="DN35" s="204"/>
      <c r="DO35" s="204"/>
      <c r="DP35" s="204"/>
      <c r="DQ35" s="204"/>
      <c r="DR35" s="204"/>
      <c r="DS35" s="204"/>
      <c r="DT35" s="204"/>
      <c r="DU35" s="204"/>
      <c r="DV35" s="204"/>
      <c r="DW35" s="204"/>
      <c r="DX35" s="204"/>
      <c r="DY35" s="204"/>
      <c r="DZ35" s="204"/>
      <c r="EA35" s="204"/>
      <c r="EB35" s="204"/>
      <c r="EC35" s="204"/>
      <c r="ED35" s="204"/>
      <c r="EE35" s="204"/>
      <c r="EF35" s="204"/>
      <c r="EG35" s="204"/>
      <c r="EH35" s="250">
        <f>AD35+AH35+AL35+AP35+AT35+AX35+BB35+BF35+BJ35+BN35+BR35+BV35+BZ35+CD35+CH35+CL35+CP35+CT35+CX35+DA35+DD35+DG35+DJ35+DM35+DP35+DS35+DV35+DY35+EB35+EE35</f>
        <v>8487649.5399999991</v>
      </c>
      <c r="EI35" s="250">
        <f>AE35+AI35+AM35+AQ35+AU35+AY35+BC35+BG35+BK35+BO35+BS35+BW35+CA35+CE35+CI35+CM35+CQ35+CU35+CY35+DB35+DE35+DH35+DK35+DN35+DQ35+DT35+DW35+DZ35+EC35+EF35</f>
        <v>0</v>
      </c>
      <c r="EJ35" s="250">
        <f>AF35+AJ35+AN35+AR35+AV35+AZ35+BD35+BH35+BL35+BP35+BT35+BX35+CB35+CF35+CJ35+CN35+CR35+CV35+CZ35+DC35+DF35+DI35+DL35+DO35+DR35+DU35+DX35+EA35+ED35+EG35</f>
        <v>8487649.5399999991</v>
      </c>
      <c r="EK35" s="204">
        <f>EH35+AC35-EI35</f>
        <v>8487649.5399999991</v>
      </c>
      <c r="EL35" s="204">
        <f>AC35-EI35</f>
        <v>0</v>
      </c>
      <c r="EM35" s="255">
        <f>Z35-EH35</f>
        <v>1754.0800000000745</v>
      </c>
      <c r="EN35" s="204">
        <f>EH35-EJ35</f>
        <v>0</v>
      </c>
      <c r="EO35" s="204">
        <f>+AA35+EM35</f>
        <v>-8487649.5399999991</v>
      </c>
      <c r="EP35" s="204"/>
      <c r="EQ35" s="55">
        <v>44923</v>
      </c>
      <c r="ER35" s="55">
        <v>45015</v>
      </c>
      <c r="ES35" s="18"/>
      <c r="ET35" s="47" t="s">
        <v>1368</v>
      </c>
      <c r="EU35" s="18"/>
      <c r="EV35" s="18"/>
      <c r="EW35" s="18"/>
      <c r="EX35" s="18"/>
      <c r="EY35" s="331">
        <f t="shared" si="15"/>
        <v>0.99979338006784513</v>
      </c>
      <c r="EZ35" s="332">
        <v>1</v>
      </c>
      <c r="FA35" s="336"/>
      <c r="FB35" s="336"/>
      <c r="FC35" s="337">
        <f>(AC35+EH35-EI35)/Z35</f>
        <v>0.99979338006784513</v>
      </c>
      <c r="FD35" s="338" t="s">
        <v>147</v>
      </c>
      <c r="FE35" s="47" t="s">
        <v>144</v>
      </c>
      <c r="FF35" s="47"/>
      <c r="FG35" s="47" t="s">
        <v>1130</v>
      </c>
      <c r="FH35" s="307" t="s">
        <v>148</v>
      </c>
      <c r="FI35" s="25">
        <v>8000</v>
      </c>
      <c r="FJ35" s="51" t="s">
        <v>1369</v>
      </c>
    </row>
    <row r="36" spans="1:166" s="214" customFormat="1" ht="80.25" hidden="1" customHeight="1">
      <c r="A36" s="60"/>
      <c r="B36" s="211"/>
      <c r="C36" s="212"/>
      <c r="D36" s="61"/>
      <c r="E36" s="61"/>
      <c r="F36" s="62"/>
      <c r="G36" s="63"/>
      <c r="H36" s="64">
        <v>48600000</v>
      </c>
      <c r="I36" s="64">
        <v>48600000</v>
      </c>
      <c r="J36" s="63" t="s">
        <v>1012</v>
      </c>
      <c r="K36" s="63"/>
      <c r="L36" s="63"/>
      <c r="M36" s="62"/>
      <c r="N36" s="63"/>
      <c r="O36" s="62"/>
      <c r="P36" s="65"/>
      <c r="Q36" s="66"/>
      <c r="R36" s="67"/>
      <c r="S36" s="67"/>
      <c r="T36" s="67"/>
      <c r="U36" s="67"/>
      <c r="V36" s="68"/>
      <c r="W36" s="68"/>
      <c r="X36" s="213"/>
      <c r="Y36" s="213"/>
      <c r="Z36" s="213">
        <f>+Z33+Z34+Z35</f>
        <v>36866294.030000001</v>
      </c>
      <c r="AA36" s="213">
        <f>+AA33+AA34</f>
        <v>-28376890.41</v>
      </c>
      <c r="AB36" s="213">
        <f>+AB33+AB34</f>
        <v>2093776.79</v>
      </c>
      <c r="AC36" s="213">
        <f>+AC33+AC34</f>
        <v>2093776.79</v>
      </c>
      <c r="AD36" s="255"/>
      <c r="AE36" s="255"/>
      <c r="AF36" s="256"/>
      <c r="AG36" s="257"/>
      <c r="AH36" s="255"/>
      <c r="AI36" s="255"/>
      <c r="AJ36" s="255"/>
      <c r="AK36" s="257"/>
      <c r="AL36" s="256"/>
      <c r="AM36" s="258"/>
      <c r="AN36" s="255"/>
      <c r="AO36" s="257"/>
      <c r="AP36" s="255"/>
      <c r="AQ36" s="255"/>
      <c r="AR36" s="255"/>
      <c r="AS36" s="257"/>
      <c r="AT36" s="255"/>
      <c r="AU36" s="255"/>
      <c r="AV36" s="255"/>
      <c r="AW36" s="259"/>
      <c r="AX36" s="255"/>
      <c r="AY36" s="255"/>
      <c r="AZ36" s="255"/>
      <c r="BA36" s="255"/>
      <c r="BB36" s="255"/>
      <c r="BC36" s="255"/>
      <c r="BD36" s="255"/>
      <c r="BE36" s="255"/>
      <c r="BF36" s="255"/>
      <c r="BG36" s="255"/>
      <c r="BH36" s="255"/>
      <c r="BI36" s="255"/>
      <c r="BJ36" s="255"/>
      <c r="BK36" s="255"/>
      <c r="BL36" s="255"/>
      <c r="BM36" s="255"/>
      <c r="BN36" s="255"/>
      <c r="BO36" s="255"/>
      <c r="BP36" s="255"/>
      <c r="BQ36" s="255"/>
      <c r="BR36" s="255"/>
      <c r="BS36" s="255"/>
      <c r="BT36" s="255"/>
      <c r="BU36" s="255"/>
      <c r="BV36" s="255"/>
      <c r="BW36" s="255"/>
      <c r="BX36" s="255"/>
      <c r="BY36" s="255"/>
      <c r="BZ36" s="255"/>
      <c r="CA36" s="255"/>
      <c r="CB36" s="255"/>
      <c r="CC36" s="255"/>
      <c r="CD36" s="255"/>
      <c r="CE36" s="255"/>
      <c r="CF36" s="255"/>
      <c r="CG36" s="255"/>
      <c r="CH36" s="255"/>
      <c r="CI36" s="255"/>
      <c r="CJ36" s="255"/>
      <c r="CK36" s="255"/>
      <c r="CL36" s="255"/>
      <c r="CM36" s="255"/>
      <c r="CN36" s="255"/>
      <c r="CO36" s="255"/>
      <c r="CP36" s="255"/>
      <c r="CQ36" s="255"/>
      <c r="CR36" s="255"/>
      <c r="CS36" s="255"/>
      <c r="CT36" s="255"/>
      <c r="CU36" s="255"/>
      <c r="CV36" s="255"/>
      <c r="CW36" s="255"/>
      <c r="CX36" s="255"/>
      <c r="CY36" s="255"/>
      <c r="CZ36" s="255"/>
      <c r="DA36" s="255"/>
      <c r="DB36" s="255"/>
      <c r="DC36" s="255"/>
      <c r="DD36" s="255"/>
      <c r="DE36" s="255"/>
      <c r="DF36" s="255"/>
      <c r="DG36" s="255"/>
      <c r="DH36" s="255"/>
      <c r="DI36" s="255"/>
      <c r="DJ36" s="255"/>
      <c r="DK36" s="255"/>
      <c r="DL36" s="255"/>
      <c r="DM36" s="255"/>
      <c r="DN36" s="255"/>
      <c r="DO36" s="255"/>
      <c r="DP36" s="255"/>
      <c r="DQ36" s="255"/>
      <c r="DR36" s="255"/>
      <c r="DS36" s="255"/>
      <c r="DT36" s="255"/>
      <c r="DU36" s="255"/>
      <c r="DV36" s="255"/>
      <c r="DW36" s="255"/>
      <c r="DX36" s="255"/>
      <c r="DY36" s="255"/>
      <c r="DZ36" s="255"/>
      <c r="EA36" s="255"/>
      <c r="EB36" s="255"/>
      <c r="EC36" s="255"/>
      <c r="ED36" s="255"/>
      <c r="EE36" s="255"/>
      <c r="EF36" s="255"/>
      <c r="EG36" s="255"/>
      <c r="EH36" s="213">
        <f t="shared" ref="EH36:EO36" si="21">+EH33+EH34</f>
        <v>23786123.510000002</v>
      </c>
      <c r="EI36" s="213">
        <f t="shared" si="21"/>
        <v>716562.34</v>
      </c>
      <c r="EJ36" s="213">
        <f t="shared" si="21"/>
        <v>23069561.170000002</v>
      </c>
      <c r="EK36" s="213">
        <f t="shared" si="21"/>
        <v>25163337.960000001</v>
      </c>
      <c r="EL36" s="213">
        <f t="shared" si="21"/>
        <v>1377214.4500000002</v>
      </c>
      <c r="EM36" s="213">
        <f t="shared" si="21"/>
        <v>4590766.9000000004</v>
      </c>
      <c r="EN36" s="213">
        <f t="shared" si="21"/>
        <v>716562.33999999985</v>
      </c>
      <c r="EO36" s="213">
        <f t="shared" si="21"/>
        <v>-23786123.510000002</v>
      </c>
      <c r="EP36" s="255"/>
      <c r="EQ36" s="216"/>
      <c r="ER36" s="216"/>
      <c r="ES36" s="63"/>
      <c r="ET36" s="63"/>
      <c r="EU36" s="63"/>
      <c r="EV36" s="63"/>
      <c r="EW36" s="63"/>
      <c r="EX36" s="63"/>
      <c r="EY36" s="63"/>
      <c r="EZ36" s="339">
        <f>((EZ33*Z33)+(EZ34*Z34)+(EZ35*Z35))/Z36</f>
        <v>0.99419588135911141</v>
      </c>
      <c r="FA36" s="339">
        <f>((FA33*AA33)+(FA34*AA34)+(FA35*AA35))/AA36</f>
        <v>0</v>
      </c>
      <c r="FB36" s="339">
        <f>((FB33*AB33)+(FB34*AB34)+(FB35*AB35))/AB36</f>
        <v>0</v>
      </c>
      <c r="FC36" s="339">
        <f>((FC33*Z33)+(FC34*Z34)+(FC35*Z35))/Z36</f>
        <v>0.91278465561568134</v>
      </c>
      <c r="FD36" s="340" t="s">
        <v>149</v>
      </c>
      <c r="FE36" s="62"/>
      <c r="FF36" s="62"/>
      <c r="FG36" s="62"/>
      <c r="FH36" s="62"/>
      <c r="FI36" s="69"/>
      <c r="FJ36" s="62" t="s">
        <v>667</v>
      </c>
    </row>
    <row r="37" spans="1:166" ht="201.75" hidden="1" customHeight="1">
      <c r="A37" s="15">
        <v>20</v>
      </c>
      <c r="B37" s="5" t="s">
        <v>834</v>
      </c>
      <c r="C37" s="5" t="s">
        <v>834</v>
      </c>
      <c r="D37" s="125" t="s">
        <v>1109</v>
      </c>
      <c r="E37" s="125"/>
      <c r="F37" s="47">
        <v>121831</v>
      </c>
      <c r="G37" s="275" t="s">
        <v>1064</v>
      </c>
      <c r="H37" s="19">
        <f>79400000-50000000</f>
        <v>29400000</v>
      </c>
      <c r="I37" s="19">
        <f>79400000-50000000</f>
        <v>29400000</v>
      </c>
      <c r="J37" s="18" t="s">
        <v>230</v>
      </c>
      <c r="K37" s="20" t="s">
        <v>937</v>
      </c>
      <c r="L37" s="70" t="s">
        <v>1003</v>
      </c>
      <c r="M37" s="20" t="s">
        <v>934</v>
      </c>
      <c r="N37" s="70" t="s">
        <v>1004</v>
      </c>
      <c r="O37" s="20">
        <v>5555331253</v>
      </c>
      <c r="P37" s="20" t="s">
        <v>1014</v>
      </c>
      <c r="Q37" s="21"/>
      <c r="R37" s="22"/>
      <c r="S37" s="22"/>
      <c r="T37" s="22"/>
      <c r="U37" s="22"/>
      <c r="V37" s="48">
        <v>44837</v>
      </c>
      <c r="W37" s="48">
        <v>44838</v>
      </c>
      <c r="X37" s="23">
        <v>11726271.060000001</v>
      </c>
      <c r="Y37" s="23">
        <f>X37*1.16</f>
        <v>13602474.4296</v>
      </c>
      <c r="Z37" s="23">
        <v>13602474.43</v>
      </c>
      <c r="AA37" s="204">
        <f t="shared" si="9"/>
        <v>15797525.57</v>
      </c>
      <c r="AB37" s="23">
        <v>0</v>
      </c>
      <c r="AC37" s="23">
        <v>0</v>
      </c>
      <c r="AD37" s="204">
        <v>2456765.9300000002</v>
      </c>
      <c r="AE37" s="204">
        <v>0</v>
      </c>
      <c r="AF37" s="50">
        <f>AD37-AE37</f>
        <v>2456765.9300000002</v>
      </c>
      <c r="AG37" s="407">
        <v>44880</v>
      </c>
      <c r="AH37" s="204">
        <v>1970104.91</v>
      </c>
      <c r="AI37" s="204">
        <v>0</v>
      </c>
      <c r="AJ37" s="204">
        <f>AH37-AI37</f>
        <v>1970104.91</v>
      </c>
      <c r="AK37" s="253">
        <v>44904</v>
      </c>
      <c r="AL37" s="204">
        <v>1476627.13</v>
      </c>
      <c r="AM37" s="254">
        <v>0</v>
      </c>
      <c r="AN37" s="204">
        <f>AL37-AM37</f>
        <v>1476627.13</v>
      </c>
      <c r="AO37" s="253">
        <v>44916</v>
      </c>
      <c r="AP37" s="204">
        <v>2237132.2599999998</v>
      </c>
      <c r="AQ37" s="204">
        <v>0</v>
      </c>
      <c r="AR37" s="204">
        <f>AP37-AQ37</f>
        <v>2237132.2599999998</v>
      </c>
      <c r="AS37" s="253">
        <v>44986</v>
      </c>
      <c r="AT37" s="204">
        <v>767111.55</v>
      </c>
      <c r="AU37" s="204">
        <v>0</v>
      </c>
      <c r="AV37" s="204">
        <f>AT37-AU37</f>
        <v>767111.55</v>
      </c>
      <c r="AW37" s="249">
        <v>44636</v>
      </c>
      <c r="AX37" s="204">
        <v>3031106.84</v>
      </c>
      <c r="AY37" s="204">
        <v>0</v>
      </c>
      <c r="AZ37" s="204">
        <f>AX37-AY37</f>
        <v>3031106.84</v>
      </c>
      <c r="BA37" s="249">
        <v>45016</v>
      </c>
      <c r="BB37" s="204">
        <v>1342941.21</v>
      </c>
      <c r="BC37" s="204">
        <v>0</v>
      </c>
      <c r="BD37" s="204">
        <f>BB37-BC37</f>
        <v>1342941.21</v>
      </c>
      <c r="BE37" s="249">
        <v>45033</v>
      </c>
      <c r="BF37" s="204">
        <v>320684.59999999998</v>
      </c>
      <c r="BG37" s="204">
        <v>0</v>
      </c>
      <c r="BH37" s="204">
        <f>BF37-BG37</f>
        <v>320684.59999999998</v>
      </c>
      <c r="BI37" s="204" t="s">
        <v>305</v>
      </c>
      <c r="BJ37" s="204"/>
      <c r="BK37" s="204"/>
      <c r="BL37" s="204"/>
      <c r="BM37" s="204"/>
      <c r="BN37" s="204"/>
      <c r="BO37" s="204"/>
      <c r="BP37" s="204"/>
      <c r="BQ37" s="204"/>
      <c r="BR37" s="204"/>
      <c r="BS37" s="204"/>
      <c r="BT37" s="204"/>
      <c r="BU37" s="204"/>
      <c r="BV37" s="204"/>
      <c r="BW37" s="204"/>
      <c r="BX37" s="204"/>
      <c r="BY37" s="204"/>
      <c r="BZ37" s="204"/>
      <c r="CA37" s="204"/>
      <c r="CB37" s="204"/>
      <c r="CC37" s="204"/>
      <c r="CD37" s="204"/>
      <c r="CE37" s="204"/>
      <c r="CF37" s="204"/>
      <c r="CG37" s="204"/>
      <c r="CH37" s="204"/>
      <c r="CI37" s="204"/>
      <c r="CJ37" s="204"/>
      <c r="CK37" s="204"/>
      <c r="CL37" s="204"/>
      <c r="CM37" s="204"/>
      <c r="CN37" s="204"/>
      <c r="CO37" s="204"/>
      <c r="CP37" s="204"/>
      <c r="CQ37" s="204"/>
      <c r="CR37" s="204"/>
      <c r="CS37" s="204"/>
      <c r="CT37" s="204"/>
      <c r="CU37" s="204"/>
      <c r="CV37" s="204"/>
      <c r="CW37" s="204"/>
      <c r="CX37" s="204"/>
      <c r="CY37" s="204"/>
      <c r="CZ37" s="204"/>
      <c r="DA37" s="204"/>
      <c r="DB37" s="204"/>
      <c r="DC37" s="204"/>
      <c r="DD37" s="204"/>
      <c r="DE37" s="204"/>
      <c r="DF37" s="204"/>
      <c r="DG37" s="204"/>
      <c r="DH37" s="204"/>
      <c r="DI37" s="204"/>
      <c r="DJ37" s="204"/>
      <c r="DK37" s="204"/>
      <c r="DL37" s="204"/>
      <c r="DM37" s="204"/>
      <c r="DN37" s="204"/>
      <c r="DO37" s="204"/>
      <c r="DP37" s="204"/>
      <c r="DQ37" s="204"/>
      <c r="DR37" s="204"/>
      <c r="DS37" s="204"/>
      <c r="DT37" s="204"/>
      <c r="DU37" s="204"/>
      <c r="DV37" s="204"/>
      <c r="DW37" s="204"/>
      <c r="DX37" s="204"/>
      <c r="DY37" s="204"/>
      <c r="DZ37" s="204"/>
      <c r="EA37" s="204"/>
      <c r="EB37" s="204"/>
      <c r="EC37" s="204"/>
      <c r="ED37" s="204"/>
      <c r="EE37" s="204"/>
      <c r="EF37" s="204"/>
      <c r="EG37" s="204"/>
      <c r="EH37" s="250">
        <f t="shared" ref="EH37:EJ38" si="22">AD37+AH37+AL37+AP37+AT37+AX37+BB37+BF37+BJ37+BN37+BR37+BV37+BZ37+CD37+CH37+CL37+CP37+CT37+CX37+DA37+DD37+DG37+DJ37+DM37+DP37+DS37+DV37+DY37+EB37+EE37</f>
        <v>13602474.429999998</v>
      </c>
      <c r="EI37" s="250">
        <f t="shared" si="22"/>
        <v>0</v>
      </c>
      <c r="EJ37" s="250">
        <f t="shared" si="22"/>
        <v>13602474.429999998</v>
      </c>
      <c r="EK37" s="204">
        <f>EH37+AC37-EI37</f>
        <v>13602474.429999998</v>
      </c>
      <c r="EL37" s="204">
        <f>AC37-EI37</f>
        <v>0</v>
      </c>
      <c r="EM37" s="255">
        <f>Z37-EH37</f>
        <v>0</v>
      </c>
      <c r="EN37" s="204">
        <f>EH37-EJ37</f>
        <v>0</v>
      </c>
      <c r="EO37" s="204">
        <f>+AA37+EM37</f>
        <v>15797525.57</v>
      </c>
      <c r="EP37" s="204"/>
      <c r="EQ37" s="55">
        <v>44839</v>
      </c>
      <c r="ER37" s="55">
        <v>45015</v>
      </c>
      <c r="ES37" s="18"/>
      <c r="ET37" s="18"/>
      <c r="EU37" s="18"/>
      <c r="EV37" s="18"/>
      <c r="EW37" s="18"/>
      <c r="EX37" s="18"/>
      <c r="EY37" s="331">
        <f t="shared" si="15"/>
        <v>0.99999999999999989</v>
      </c>
      <c r="EZ37" s="332">
        <v>0.99</v>
      </c>
      <c r="FA37" s="343"/>
      <c r="FB37" s="343"/>
      <c r="FC37" s="337">
        <f>(AC37+EH37-EI37)/Z37</f>
        <v>0.99999999999999989</v>
      </c>
      <c r="FD37" s="338" t="s">
        <v>147</v>
      </c>
      <c r="FE37" s="20" t="s">
        <v>174</v>
      </c>
      <c r="FF37" s="47"/>
      <c r="FG37" s="47" t="s">
        <v>154</v>
      </c>
      <c r="FH37" s="47" t="s">
        <v>169</v>
      </c>
      <c r="FI37" s="25">
        <v>1800</v>
      </c>
      <c r="FJ37" s="24" t="s">
        <v>1298</v>
      </c>
    </row>
    <row r="38" spans="1:166" s="214" customFormat="1" ht="201.75" hidden="1" customHeight="1">
      <c r="A38" s="60"/>
      <c r="B38" s="397" t="s">
        <v>1158</v>
      </c>
      <c r="C38" s="397" t="s">
        <v>1158</v>
      </c>
      <c r="D38" s="398"/>
      <c r="E38" s="398"/>
      <c r="F38" s="62"/>
      <c r="G38" s="399"/>
      <c r="H38" s="64">
        <v>50000000</v>
      </c>
      <c r="I38" s="64">
        <v>50000000</v>
      </c>
      <c r="J38" s="63" t="s">
        <v>230</v>
      </c>
      <c r="K38" s="62"/>
      <c r="L38" s="63"/>
      <c r="M38" s="62"/>
      <c r="N38" s="63"/>
      <c r="O38" s="62"/>
      <c r="P38" s="65"/>
      <c r="Q38" s="66"/>
      <c r="R38" s="67"/>
      <c r="S38" s="67"/>
      <c r="T38" s="67"/>
      <c r="U38" s="67"/>
      <c r="V38" s="68"/>
      <c r="W38" s="68"/>
      <c r="X38" s="213"/>
      <c r="Y38" s="213"/>
      <c r="Z38" s="213"/>
      <c r="AA38" s="255">
        <f t="shared" si="9"/>
        <v>50000000</v>
      </c>
      <c r="AB38" s="213"/>
      <c r="AC38" s="213"/>
      <c r="AD38" s="255"/>
      <c r="AE38" s="255"/>
      <c r="AF38" s="256"/>
      <c r="AG38" s="400"/>
      <c r="AH38" s="255"/>
      <c r="AI38" s="255"/>
      <c r="AJ38" s="255"/>
      <c r="AK38" s="257"/>
      <c r="AL38" s="256"/>
      <c r="AM38" s="258"/>
      <c r="AN38" s="255"/>
      <c r="AO38" s="257"/>
      <c r="AP38" s="255"/>
      <c r="AQ38" s="255"/>
      <c r="AR38" s="255"/>
      <c r="AS38" s="257"/>
      <c r="AT38" s="255"/>
      <c r="AU38" s="255"/>
      <c r="AV38" s="255"/>
      <c r="AW38" s="259"/>
      <c r="AX38" s="255"/>
      <c r="AY38" s="255"/>
      <c r="AZ38" s="255"/>
      <c r="BA38" s="255"/>
      <c r="BB38" s="255"/>
      <c r="BC38" s="255"/>
      <c r="BD38" s="255"/>
      <c r="BE38" s="255"/>
      <c r="BF38" s="255"/>
      <c r="BG38" s="255"/>
      <c r="BH38" s="255"/>
      <c r="BI38" s="255"/>
      <c r="BJ38" s="255"/>
      <c r="BK38" s="255"/>
      <c r="BL38" s="255"/>
      <c r="BM38" s="255"/>
      <c r="BN38" s="255"/>
      <c r="BO38" s="255"/>
      <c r="BP38" s="255"/>
      <c r="BQ38" s="255"/>
      <c r="BR38" s="255"/>
      <c r="BS38" s="255"/>
      <c r="BT38" s="255"/>
      <c r="BU38" s="255"/>
      <c r="BV38" s="255"/>
      <c r="BW38" s="255"/>
      <c r="BX38" s="255"/>
      <c r="BY38" s="255"/>
      <c r="BZ38" s="255"/>
      <c r="CA38" s="255"/>
      <c r="CB38" s="255"/>
      <c r="CC38" s="255"/>
      <c r="CD38" s="255"/>
      <c r="CE38" s="255"/>
      <c r="CF38" s="255"/>
      <c r="CG38" s="255"/>
      <c r="CH38" s="255"/>
      <c r="CI38" s="255"/>
      <c r="CJ38" s="255"/>
      <c r="CK38" s="255"/>
      <c r="CL38" s="255"/>
      <c r="CM38" s="255"/>
      <c r="CN38" s="255"/>
      <c r="CO38" s="255"/>
      <c r="CP38" s="255"/>
      <c r="CQ38" s="255"/>
      <c r="CR38" s="255"/>
      <c r="CS38" s="255"/>
      <c r="CT38" s="255"/>
      <c r="CU38" s="255"/>
      <c r="CV38" s="255"/>
      <c r="CW38" s="255"/>
      <c r="CX38" s="255"/>
      <c r="CY38" s="255"/>
      <c r="CZ38" s="255"/>
      <c r="DA38" s="255"/>
      <c r="DB38" s="255"/>
      <c r="DC38" s="255"/>
      <c r="DD38" s="255"/>
      <c r="DE38" s="255"/>
      <c r="DF38" s="255"/>
      <c r="DG38" s="255"/>
      <c r="DH38" s="255"/>
      <c r="DI38" s="255"/>
      <c r="DJ38" s="255"/>
      <c r="DK38" s="255"/>
      <c r="DL38" s="255"/>
      <c r="DM38" s="255"/>
      <c r="DN38" s="255"/>
      <c r="DO38" s="255"/>
      <c r="DP38" s="255"/>
      <c r="DQ38" s="255"/>
      <c r="DR38" s="255"/>
      <c r="DS38" s="255"/>
      <c r="DT38" s="255"/>
      <c r="DU38" s="255"/>
      <c r="DV38" s="255"/>
      <c r="DW38" s="255"/>
      <c r="DX38" s="255"/>
      <c r="DY38" s="255"/>
      <c r="DZ38" s="255"/>
      <c r="EA38" s="255"/>
      <c r="EB38" s="255"/>
      <c r="EC38" s="255"/>
      <c r="ED38" s="255"/>
      <c r="EE38" s="255"/>
      <c r="EF38" s="255"/>
      <c r="EG38" s="255"/>
      <c r="EH38" s="377">
        <f t="shared" si="22"/>
        <v>0</v>
      </c>
      <c r="EI38" s="377">
        <f t="shared" si="22"/>
        <v>0</v>
      </c>
      <c r="EJ38" s="377">
        <f t="shared" si="22"/>
        <v>0</v>
      </c>
      <c r="EK38" s="255">
        <f>EH38+AC38-EI38</f>
        <v>0</v>
      </c>
      <c r="EL38" s="255">
        <f>AC38-EI38</f>
        <v>0</v>
      </c>
      <c r="EM38" s="255">
        <f>Z38-EH38</f>
        <v>0</v>
      </c>
      <c r="EN38" s="255">
        <f>EH38-EJ38</f>
        <v>0</v>
      </c>
      <c r="EO38" s="255">
        <f>+AA38+EM38</f>
        <v>50000000</v>
      </c>
      <c r="EP38" s="255"/>
      <c r="EQ38" s="216"/>
      <c r="ER38" s="216"/>
      <c r="ES38" s="63"/>
      <c r="ET38" s="63"/>
      <c r="EU38" s="63"/>
      <c r="EV38" s="63"/>
      <c r="EW38" s="63"/>
      <c r="EX38" s="63"/>
      <c r="EY38" s="339" t="e">
        <f t="shared" si="15"/>
        <v>#DIV/0!</v>
      </c>
      <c r="EZ38" s="342">
        <v>0</v>
      </c>
      <c r="FA38" s="341"/>
      <c r="FB38" s="341"/>
      <c r="FC38" s="379">
        <v>0</v>
      </c>
      <c r="FD38" s="340" t="s">
        <v>149</v>
      </c>
      <c r="FE38" s="62" t="s">
        <v>1159</v>
      </c>
      <c r="FF38" s="62"/>
      <c r="FG38" s="62" t="s">
        <v>145</v>
      </c>
      <c r="FH38" s="62" t="s">
        <v>146</v>
      </c>
      <c r="FI38" s="69"/>
      <c r="FJ38" s="401"/>
    </row>
    <row r="39" spans="1:166" ht="258.75" customHeight="1">
      <c r="A39" s="15">
        <f>A11+1</f>
        <v>4</v>
      </c>
      <c r="B39" s="5" t="s">
        <v>1098</v>
      </c>
      <c r="C39" s="56" t="s">
        <v>1202</v>
      </c>
      <c r="D39" s="125"/>
      <c r="E39" s="125"/>
      <c r="F39" s="47">
        <v>121513</v>
      </c>
      <c r="G39" s="18" t="s">
        <v>220</v>
      </c>
      <c r="H39" s="19">
        <f>13000000+ 1500000</f>
        <v>14500000</v>
      </c>
      <c r="I39" s="19">
        <f>12999607.92+1499758.05</f>
        <v>14499365.970000001</v>
      </c>
      <c r="J39" s="18" t="s">
        <v>132</v>
      </c>
      <c r="K39" s="18" t="s">
        <v>185</v>
      </c>
      <c r="L39" s="18" t="s">
        <v>697</v>
      </c>
      <c r="M39" s="47" t="s">
        <v>186</v>
      </c>
      <c r="N39" s="18" t="s">
        <v>698</v>
      </c>
      <c r="O39" s="47" t="s">
        <v>699</v>
      </c>
      <c r="P39" s="389" t="s">
        <v>743</v>
      </c>
      <c r="Q39" s="21"/>
      <c r="R39" s="22"/>
      <c r="S39" s="22"/>
      <c r="T39" s="22"/>
      <c r="U39" s="22"/>
      <c r="V39" s="48">
        <v>44734</v>
      </c>
      <c r="W39" s="48">
        <v>44736</v>
      </c>
      <c r="X39" s="23">
        <f>11206558.55</f>
        <v>11206558.550000001</v>
      </c>
      <c r="Y39" s="23">
        <f t="shared" si="4"/>
        <v>12999607.918</v>
      </c>
      <c r="Z39" s="213">
        <v>14499365.970000001</v>
      </c>
      <c r="AA39" s="204">
        <f t="shared" si="9"/>
        <v>634.02999999932945</v>
      </c>
      <c r="AB39" s="204">
        <v>3899882.38</v>
      </c>
      <c r="AC39" s="204">
        <v>3899882.38</v>
      </c>
      <c r="AD39" s="204">
        <v>306329.53000000003</v>
      </c>
      <c r="AE39" s="204">
        <v>91898.86</v>
      </c>
      <c r="AF39" s="50">
        <f t="shared" si="5"/>
        <v>214430.67000000004</v>
      </c>
      <c r="AG39" s="253">
        <v>44803</v>
      </c>
      <c r="AH39" s="204">
        <v>1340417.18</v>
      </c>
      <c r="AI39" s="204">
        <v>402125.15</v>
      </c>
      <c r="AJ39" s="204">
        <f t="shared" si="6"/>
        <v>938292.02999999991</v>
      </c>
      <c r="AK39" s="253">
        <v>44844</v>
      </c>
      <c r="AL39" s="50">
        <v>1046602.09</v>
      </c>
      <c r="AM39" s="50">
        <v>313980.63</v>
      </c>
      <c r="AN39" s="204">
        <f>AL39-AM39</f>
        <v>732621.46</v>
      </c>
      <c r="AO39" s="253">
        <v>44876</v>
      </c>
      <c r="AP39" s="204">
        <v>6205627.5499999998</v>
      </c>
      <c r="AQ39" s="204">
        <v>1861688.27</v>
      </c>
      <c r="AR39" s="204">
        <f>AP39-AQ39</f>
        <v>4343939.2799999993</v>
      </c>
      <c r="AS39" s="253">
        <v>44902</v>
      </c>
      <c r="AT39" s="204">
        <v>408005.91</v>
      </c>
      <c r="AU39" s="204">
        <v>122401.77</v>
      </c>
      <c r="AV39" s="204">
        <f>AT39-AU39</f>
        <v>285604.13999999996</v>
      </c>
      <c r="AW39" s="249">
        <v>45009</v>
      </c>
      <c r="AX39" s="204">
        <v>228408.44</v>
      </c>
      <c r="AY39" s="204">
        <v>68522.53</v>
      </c>
      <c r="AZ39" s="204">
        <f>AX39-AY39</f>
        <v>159885.91</v>
      </c>
      <c r="BA39" s="249">
        <v>45009</v>
      </c>
      <c r="BB39" s="204">
        <v>2569816.5699999998</v>
      </c>
      <c r="BC39" s="204">
        <v>1039265.17</v>
      </c>
      <c r="BD39" s="204">
        <f>BB39-BC39</f>
        <v>1530551.4</v>
      </c>
      <c r="BE39" s="249">
        <v>45009</v>
      </c>
      <c r="BF39" s="204">
        <v>894382.91</v>
      </c>
      <c r="BG39" s="204">
        <v>0</v>
      </c>
      <c r="BH39" s="204">
        <f>BF39-BG39</f>
        <v>894382.91</v>
      </c>
      <c r="BI39" s="249">
        <v>45009</v>
      </c>
      <c r="BJ39" s="204">
        <v>226801.4</v>
      </c>
      <c r="BK39" s="204">
        <v>0</v>
      </c>
      <c r="BL39" s="204">
        <f>BJ39-BK39</f>
        <v>226801.4</v>
      </c>
      <c r="BM39" s="249" t="s">
        <v>1284</v>
      </c>
      <c r="BN39" s="204">
        <v>9390.19</v>
      </c>
      <c r="BO39" s="204">
        <v>0</v>
      </c>
      <c r="BP39" s="204">
        <f>BN39-BO39</f>
        <v>9390.19</v>
      </c>
      <c r="BQ39" s="204" t="s">
        <v>1355</v>
      </c>
      <c r="BR39" s="204">
        <v>0</v>
      </c>
      <c r="BS39" s="204">
        <v>0</v>
      </c>
      <c r="BT39" s="204">
        <v>0</v>
      </c>
      <c r="BU39" s="204" t="s">
        <v>1356</v>
      </c>
      <c r="BV39" s="204"/>
      <c r="BW39" s="204"/>
      <c r="BX39" s="204"/>
      <c r="BY39" s="204"/>
      <c r="BZ39" s="204"/>
      <c r="CA39" s="204"/>
      <c r="CB39" s="204"/>
      <c r="CC39" s="204"/>
      <c r="CD39" s="204"/>
      <c r="CE39" s="204"/>
      <c r="CF39" s="204"/>
      <c r="CG39" s="204"/>
      <c r="CH39" s="204"/>
      <c r="CI39" s="204"/>
      <c r="CJ39" s="204"/>
      <c r="CK39" s="204"/>
      <c r="CL39" s="204"/>
      <c r="CM39" s="204"/>
      <c r="CN39" s="204"/>
      <c r="CO39" s="204"/>
      <c r="CP39" s="204"/>
      <c r="CQ39" s="204"/>
      <c r="CR39" s="204"/>
      <c r="CS39" s="204"/>
      <c r="CT39" s="204"/>
      <c r="CU39" s="204"/>
      <c r="CV39" s="204"/>
      <c r="CW39" s="204"/>
      <c r="CX39" s="204"/>
      <c r="CY39" s="204"/>
      <c r="CZ39" s="204"/>
      <c r="DA39" s="204"/>
      <c r="DB39" s="204"/>
      <c r="DC39" s="204"/>
      <c r="DD39" s="204"/>
      <c r="DE39" s="204"/>
      <c r="DF39" s="204"/>
      <c r="DG39" s="204"/>
      <c r="DH39" s="204"/>
      <c r="DI39" s="204"/>
      <c r="DJ39" s="204"/>
      <c r="DK39" s="204"/>
      <c r="DL39" s="204"/>
      <c r="DM39" s="204"/>
      <c r="DN39" s="204"/>
      <c r="DO39" s="204"/>
      <c r="DP39" s="204"/>
      <c r="DQ39" s="204"/>
      <c r="DR39" s="204"/>
      <c r="DS39" s="204"/>
      <c r="DT39" s="204"/>
      <c r="DU39" s="204"/>
      <c r="DV39" s="204"/>
      <c r="DW39" s="204"/>
      <c r="DX39" s="204"/>
      <c r="DY39" s="204"/>
      <c r="DZ39" s="204"/>
      <c r="EA39" s="204"/>
      <c r="EB39" s="204"/>
      <c r="EC39" s="204"/>
      <c r="ED39" s="204"/>
      <c r="EE39" s="204"/>
      <c r="EF39" s="204"/>
      <c r="EG39" s="204"/>
      <c r="EH39" s="250">
        <f t="shared" ref="EH39:EH52" si="23">AD39+AH39+AL39+AP39+AT39+AX39+BB39+BF39+BJ39+BN39+BR39+BV39+BZ39+CD39+CH39+CL39+CP39+CT39+CX39+DA39+DD39+DG39+DJ39+DM39+DP39+DS39+DV39+DY39+EB39+EE39</f>
        <v>13235781.77</v>
      </c>
      <c r="EI39" s="250">
        <f t="shared" si="18"/>
        <v>3899882.38</v>
      </c>
      <c r="EJ39" s="250">
        <f t="shared" si="18"/>
        <v>9335899.3899999987</v>
      </c>
      <c r="EK39" s="204">
        <f t="shared" si="10"/>
        <v>13235781.77</v>
      </c>
      <c r="EL39" s="204">
        <f t="shared" ref="EL39:EL102" si="24">AC39-EI39</f>
        <v>0</v>
      </c>
      <c r="EM39" s="204">
        <f>Z39-EH39</f>
        <v>1263584.2000000011</v>
      </c>
      <c r="EN39" s="204">
        <f t="shared" si="13"/>
        <v>3899882.3800000008</v>
      </c>
      <c r="EO39" s="204">
        <f t="shared" si="14"/>
        <v>1264218.2300000004</v>
      </c>
      <c r="EP39" s="204"/>
      <c r="EQ39" s="55">
        <v>44739</v>
      </c>
      <c r="ER39" s="55">
        <v>44918</v>
      </c>
      <c r="ES39" s="318" t="s">
        <v>1102</v>
      </c>
      <c r="ET39" s="47" t="s">
        <v>1316</v>
      </c>
      <c r="EU39" s="47" t="s">
        <v>1317</v>
      </c>
      <c r="EV39" s="18"/>
      <c r="EW39" s="18"/>
      <c r="EX39" s="18"/>
      <c r="EY39" s="331">
        <f t="shared" si="15"/>
        <v>0.91285245143722649</v>
      </c>
      <c r="EZ39" s="349">
        <v>1</v>
      </c>
      <c r="FA39" s="336"/>
      <c r="FB39" s="336">
        <f t="shared" si="16"/>
        <v>-1</v>
      </c>
      <c r="FC39" s="337">
        <f t="shared" ref="FC39:FC102" si="25">(AC39+EH39-EI39)/Z39</f>
        <v>0.91285245143722649</v>
      </c>
      <c r="FD39" s="338" t="s">
        <v>147</v>
      </c>
      <c r="FE39" s="47" t="s">
        <v>151</v>
      </c>
      <c r="FF39" s="47"/>
      <c r="FG39" s="47" t="s">
        <v>138</v>
      </c>
      <c r="FH39" s="47" t="s">
        <v>148</v>
      </c>
      <c r="FI39" s="25">
        <v>25000</v>
      </c>
      <c r="FJ39" s="51" t="s">
        <v>1427</v>
      </c>
    </row>
    <row r="40" spans="1:166" ht="236.25" customHeight="1">
      <c r="A40" s="15">
        <f>A39+1</f>
        <v>5</v>
      </c>
      <c r="B40" s="5" t="s">
        <v>1098</v>
      </c>
      <c r="C40" s="56" t="s">
        <v>1203</v>
      </c>
      <c r="D40" s="17"/>
      <c r="E40" s="17"/>
      <c r="F40" s="47">
        <v>121514</v>
      </c>
      <c r="G40" s="18" t="s">
        <v>221</v>
      </c>
      <c r="H40" s="19">
        <f>13000000+1500000</f>
        <v>14500000</v>
      </c>
      <c r="I40" s="19">
        <f>12995353.47+1499498.37</f>
        <v>14494851.84</v>
      </c>
      <c r="J40" s="18" t="s">
        <v>132</v>
      </c>
      <c r="K40" s="18" t="s">
        <v>700</v>
      </c>
      <c r="L40" s="18" t="s">
        <v>701</v>
      </c>
      <c r="M40" s="47" t="s">
        <v>702</v>
      </c>
      <c r="N40" s="18" t="s">
        <v>703</v>
      </c>
      <c r="O40" s="47">
        <v>7141460137</v>
      </c>
      <c r="P40" s="351" t="s">
        <v>840</v>
      </c>
      <c r="Q40" s="21"/>
      <c r="R40" s="22"/>
      <c r="S40" s="22"/>
      <c r="T40" s="22"/>
      <c r="U40" s="22"/>
      <c r="V40" s="48">
        <v>44734</v>
      </c>
      <c r="W40" s="48">
        <v>44736</v>
      </c>
      <c r="X40" s="23">
        <f>11202890.92</f>
        <v>11202890.92</v>
      </c>
      <c r="Y40" s="23">
        <f t="shared" si="4"/>
        <v>12995353.4672</v>
      </c>
      <c r="Z40" s="213">
        <v>14494851.84</v>
      </c>
      <c r="AA40" s="204">
        <f t="shared" si="9"/>
        <v>5148.160000000149</v>
      </c>
      <c r="AB40" s="204">
        <v>3898606.04</v>
      </c>
      <c r="AC40" s="204">
        <v>3898606.04</v>
      </c>
      <c r="AD40" s="204">
        <v>597626.28</v>
      </c>
      <c r="AE40" s="204">
        <v>179287.88</v>
      </c>
      <c r="AF40" s="50">
        <f t="shared" si="5"/>
        <v>418338.4</v>
      </c>
      <c r="AG40" s="253">
        <v>44799</v>
      </c>
      <c r="AH40" s="204">
        <v>3448166.33</v>
      </c>
      <c r="AI40" s="204">
        <v>1034449.9</v>
      </c>
      <c r="AJ40" s="204">
        <f t="shared" si="6"/>
        <v>2413716.4300000002</v>
      </c>
      <c r="AK40" s="253">
        <v>44853</v>
      </c>
      <c r="AL40" s="50">
        <v>4038984.78</v>
      </c>
      <c r="AM40" s="50">
        <v>2684868.26</v>
      </c>
      <c r="AN40" s="204">
        <f t="shared" ref="AN40:AN101" si="26">AL40-AM40</f>
        <v>1354116.52</v>
      </c>
      <c r="AO40" s="253">
        <v>44896</v>
      </c>
      <c r="AP40" s="204">
        <v>791045.76</v>
      </c>
      <c r="AQ40" s="204">
        <v>0</v>
      </c>
      <c r="AR40" s="204">
        <f>AP40-AQ40</f>
        <v>791045.76</v>
      </c>
      <c r="AS40" s="253">
        <v>44903</v>
      </c>
      <c r="AT40" s="204">
        <v>783584.01</v>
      </c>
      <c r="AU40" s="204">
        <v>0</v>
      </c>
      <c r="AV40" s="204">
        <f>AT40-AU40</f>
        <v>783584.01</v>
      </c>
      <c r="AW40" s="249">
        <v>45009</v>
      </c>
      <c r="AX40" s="204">
        <v>310135.25</v>
      </c>
      <c r="AY40" s="204">
        <v>0</v>
      </c>
      <c r="AZ40" s="204">
        <f>AX40-AY40</f>
        <v>310135.25</v>
      </c>
      <c r="BA40" s="249">
        <v>45009</v>
      </c>
      <c r="BB40" s="204">
        <v>1531170.32</v>
      </c>
      <c r="BC40" s="204">
        <v>0</v>
      </c>
      <c r="BD40" s="204">
        <f>BB40-BC40</f>
        <v>1531170.32</v>
      </c>
      <c r="BE40" s="249">
        <v>45009</v>
      </c>
      <c r="BF40" s="204">
        <v>1491519.71</v>
      </c>
      <c r="BG40" s="204">
        <v>0</v>
      </c>
      <c r="BH40" s="204">
        <f>BF40-BG40</f>
        <v>1491519.71</v>
      </c>
      <c r="BI40" s="249">
        <v>45009</v>
      </c>
      <c r="BJ40" s="204">
        <v>1033369.2</v>
      </c>
      <c r="BK40" s="204">
        <v>0</v>
      </c>
      <c r="BL40" s="204">
        <f>BJ40-BK40</f>
        <v>1033369.2</v>
      </c>
      <c r="BM40" s="249" t="s">
        <v>1284</v>
      </c>
      <c r="BN40" s="204">
        <v>8053.23</v>
      </c>
      <c r="BO40" s="204">
        <v>0</v>
      </c>
      <c r="BP40" s="204">
        <f>BN40-BO40</f>
        <v>8053.23</v>
      </c>
      <c r="BQ40" s="204" t="s">
        <v>1384</v>
      </c>
      <c r="BR40" s="204">
        <v>0</v>
      </c>
      <c r="BS40" s="204">
        <v>0</v>
      </c>
      <c r="BT40" s="204">
        <v>0</v>
      </c>
      <c r="BU40" s="204" t="s">
        <v>1385</v>
      </c>
      <c r="BV40" s="204"/>
      <c r="BW40" s="204"/>
      <c r="BX40" s="204"/>
      <c r="BY40" s="204"/>
      <c r="BZ40" s="204"/>
      <c r="CA40" s="204"/>
      <c r="CB40" s="204"/>
      <c r="CC40" s="204"/>
      <c r="CD40" s="204"/>
      <c r="CE40" s="204"/>
      <c r="CF40" s="204"/>
      <c r="CG40" s="204"/>
      <c r="CH40" s="204"/>
      <c r="CI40" s="204"/>
      <c r="CJ40" s="204"/>
      <c r="CK40" s="204"/>
      <c r="CL40" s="204"/>
      <c r="CM40" s="204"/>
      <c r="CN40" s="204"/>
      <c r="CO40" s="204"/>
      <c r="CP40" s="204"/>
      <c r="CQ40" s="204"/>
      <c r="CR40" s="204"/>
      <c r="CS40" s="204"/>
      <c r="CT40" s="204"/>
      <c r="CU40" s="204"/>
      <c r="CV40" s="204"/>
      <c r="CW40" s="204"/>
      <c r="CX40" s="204"/>
      <c r="CY40" s="204"/>
      <c r="CZ40" s="204"/>
      <c r="DA40" s="204"/>
      <c r="DB40" s="204"/>
      <c r="DC40" s="204"/>
      <c r="DD40" s="204"/>
      <c r="DE40" s="204"/>
      <c r="DF40" s="204"/>
      <c r="DG40" s="204"/>
      <c r="DH40" s="204"/>
      <c r="DI40" s="204"/>
      <c r="DJ40" s="204"/>
      <c r="DK40" s="204"/>
      <c r="DL40" s="204"/>
      <c r="DM40" s="204"/>
      <c r="DN40" s="204"/>
      <c r="DO40" s="204"/>
      <c r="DP40" s="204"/>
      <c r="DQ40" s="204"/>
      <c r="DR40" s="204"/>
      <c r="DS40" s="204"/>
      <c r="DT40" s="204"/>
      <c r="DU40" s="204"/>
      <c r="DV40" s="204"/>
      <c r="DW40" s="204"/>
      <c r="DX40" s="204"/>
      <c r="DY40" s="204"/>
      <c r="DZ40" s="204"/>
      <c r="EA40" s="204"/>
      <c r="EB40" s="204"/>
      <c r="EC40" s="204"/>
      <c r="ED40" s="204"/>
      <c r="EE40" s="204"/>
      <c r="EF40" s="204"/>
      <c r="EG40" s="204"/>
      <c r="EH40" s="250">
        <f t="shared" si="23"/>
        <v>14033654.870000001</v>
      </c>
      <c r="EI40" s="250">
        <f t="shared" si="18"/>
        <v>3898606.04</v>
      </c>
      <c r="EJ40" s="250">
        <f t="shared" si="18"/>
        <v>10135048.83</v>
      </c>
      <c r="EK40" s="204">
        <f t="shared" si="10"/>
        <v>14033654.870000001</v>
      </c>
      <c r="EL40" s="204">
        <f t="shared" si="24"/>
        <v>0</v>
      </c>
      <c r="EM40" s="204">
        <f t="shared" si="12"/>
        <v>461196.96999999881</v>
      </c>
      <c r="EN40" s="204">
        <f t="shared" si="13"/>
        <v>3898606.040000001</v>
      </c>
      <c r="EO40" s="204">
        <f t="shared" si="14"/>
        <v>466345.12999999896</v>
      </c>
      <c r="EP40" s="204"/>
      <c r="EQ40" s="55">
        <v>44739</v>
      </c>
      <c r="ER40" s="55">
        <v>44918</v>
      </c>
      <c r="ES40" s="318" t="s">
        <v>1102</v>
      </c>
      <c r="ET40" s="47" t="s">
        <v>1316</v>
      </c>
      <c r="EU40" s="47" t="s">
        <v>1317</v>
      </c>
      <c r="EV40" s="18"/>
      <c r="EW40" s="18"/>
      <c r="EX40" s="18"/>
      <c r="EY40" s="331">
        <f t="shared" si="15"/>
        <v>0.96818201558105754</v>
      </c>
      <c r="EZ40" s="332">
        <v>1</v>
      </c>
      <c r="FA40" s="336"/>
      <c r="FB40" s="336">
        <f t="shared" si="16"/>
        <v>-1</v>
      </c>
      <c r="FC40" s="337">
        <f t="shared" si="25"/>
        <v>0.96818201558105754</v>
      </c>
      <c r="FD40" s="338" t="s">
        <v>147</v>
      </c>
      <c r="FE40" s="47" t="s">
        <v>151</v>
      </c>
      <c r="FF40" s="47"/>
      <c r="FG40" s="47" t="s">
        <v>138</v>
      </c>
      <c r="FH40" s="47" t="s">
        <v>148</v>
      </c>
      <c r="FI40" s="25">
        <v>25000</v>
      </c>
      <c r="FJ40" s="51" t="s">
        <v>1427</v>
      </c>
    </row>
    <row r="41" spans="1:166" ht="157.5" customHeight="1">
      <c r="A41" s="15">
        <f>A40+1</f>
        <v>6</v>
      </c>
      <c r="B41" s="5" t="s">
        <v>1097</v>
      </c>
      <c r="C41" s="56" t="s">
        <v>1204</v>
      </c>
      <c r="D41" s="17"/>
      <c r="E41" s="17"/>
      <c r="F41" s="47">
        <v>121515</v>
      </c>
      <c r="G41" s="18" t="s">
        <v>222</v>
      </c>
      <c r="H41" s="19">
        <f>13000000+1500000</f>
        <v>14500000</v>
      </c>
      <c r="I41" s="19">
        <f>12994813.1+1499751.31</f>
        <v>14494564.41</v>
      </c>
      <c r="J41" s="18" t="s">
        <v>132</v>
      </c>
      <c r="K41" s="18" t="s">
        <v>218</v>
      </c>
      <c r="L41" s="18" t="s">
        <v>224</v>
      </c>
      <c r="M41" s="47" t="s">
        <v>225</v>
      </c>
      <c r="N41" s="18" t="s">
        <v>226</v>
      </c>
      <c r="O41" s="47">
        <v>5959549649</v>
      </c>
      <c r="P41" s="351" t="s">
        <v>839</v>
      </c>
      <c r="Q41" s="21"/>
      <c r="R41" s="22"/>
      <c r="S41" s="22"/>
      <c r="T41" s="22"/>
      <c r="U41" s="22"/>
      <c r="V41" s="48">
        <v>44735</v>
      </c>
      <c r="W41" s="48">
        <v>44739</v>
      </c>
      <c r="X41" s="23">
        <f>11202425.09</f>
        <v>11202425.09</v>
      </c>
      <c r="Y41" s="23">
        <f t="shared" si="4"/>
        <v>12994813.1044</v>
      </c>
      <c r="Z41" s="23">
        <v>12994813.1</v>
      </c>
      <c r="AA41" s="204">
        <f t="shared" si="9"/>
        <v>1505186.9000000004</v>
      </c>
      <c r="AB41" s="204">
        <v>3898443.93</v>
      </c>
      <c r="AC41" s="204">
        <v>3898443.93</v>
      </c>
      <c r="AD41" s="204">
        <v>2793962.38</v>
      </c>
      <c r="AE41" s="204">
        <v>1169533.18</v>
      </c>
      <c r="AF41" s="50">
        <f t="shared" si="5"/>
        <v>1624429.2</v>
      </c>
      <c r="AG41" s="253">
        <v>44796</v>
      </c>
      <c r="AH41" s="204">
        <v>5773114.1799999997</v>
      </c>
      <c r="AI41" s="204">
        <v>1731934.25</v>
      </c>
      <c r="AJ41" s="204">
        <f t="shared" si="6"/>
        <v>4041179.9299999997</v>
      </c>
      <c r="AK41" s="253">
        <v>44888</v>
      </c>
      <c r="AL41" s="50">
        <v>469213.27</v>
      </c>
      <c r="AM41" s="50">
        <v>140763.98000000001</v>
      </c>
      <c r="AN41" s="204">
        <f t="shared" si="26"/>
        <v>328449.29000000004</v>
      </c>
      <c r="AO41" s="253">
        <v>44916</v>
      </c>
      <c r="AP41" s="204">
        <v>349044.46</v>
      </c>
      <c r="AQ41" s="204">
        <v>104713.34</v>
      </c>
      <c r="AR41" s="204">
        <f>AP41-AQ41</f>
        <v>244331.12000000002</v>
      </c>
      <c r="AS41" s="253">
        <v>45009</v>
      </c>
      <c r="AT41" s="204">
        <v>3074035.54</v>
      </c>
      <c r="AU41" s="204">
        <v>751499.18</v>
      </c>
      <c r="AV41" s="204">
        <f>AT41-AU41</f>
        <v>2322536.36</v>
      </c>
      <c r="AW41" s="249">
        <v>45013</v>
      </c>
      <c r="AX41" s="204">
        <v>33156.04</v>
      </c>
      <c r="AY41" s="204">
        <v>0</v>
      </c>
      <c r="AZ41" s="204">
        <f>AX41-AY41</f>
        <v>33156.04</v>
      </c>
      <c r="BA41" s="204" t="s">
        <v>305</v>
      </c>
      <c r="BB41" s="204"/>
      <c r="BC41" s="204"/>
      <c r="BD41" s="204"/>
      <c r="BE41" s="204"/>
      <c r="BF41" s="204"/>
      <c r="BG41" s="204"/>
      <c r="BH41" s="204"/>
      <c r="BI41" s="204"/>
      <c r="BJ41" s="204"/>
      <c r="BK41" s="204"/>
      <c r="BL41" s="204"/>
      <c r="BM41" s="204"/>
      <c r="BN41" s="204"/>
      <c r="BO41" s="204"/>
      <c r="BP41" s="204"/>
      <c r="BQ41" s="204"/>
      <c r="BR41" s="204"/>
      <c r="BS41" s="204"/>
      <c r="BT41" s="204"/>
      <c r="BU41" s="204"/>
      <c r="BV41" s="204"/>
      <c r="BW41" s="204"/>
      <c r="BX41" s="204"/>
      <c r="BY41" s="204"/>
      <c r="BZ41" s="204"/>
      <c r="CA41" s="204"/>
      <c r="CB41" s="204"/>
      <c r="CC41" s="204"/>
      <c r="CD41" s="204"/>
      <c r="CE41" s="204"/>
      <c r="CF41" s="204"/>
      <c r="CG41" s="204"/>
      <c r="CH41" s="204"/>
      <c r="CI41" s="204"/>
      <c r="CJ41" s="204"/>
      <c r="CK41" s="204"/>
      <c r="CL41" s="204"/>
      <c r="CM41" s="204"/>
      <c r="CN41" s="204"/>
      <c r="CO41" s="204"/>
      <c r="CP41" s="204"/>
      <c r="CQ41" s="204"/>
      <c r="CR41" s="204"/>
      <c r="CS41" s="204"/>
      <c r="CT41" s="204"/>
      <c r="CU41" s="204"/>
      <c r="CV41" s="204"/>
      <c r="CW41" s="204"/>
      <c r="CX41" s="204"/>
      <c r="CY41" s="204"/>
      <c r="CZ41" s="204"/>
      <c r="DA41" s="204"/>
      <c r="DB41" s="204"/>
      <c r="DC41" s="204"/>
      <c r="DD41" s="204"/>
      <c r="DE41" s="204"/>
      <c r="DF41" s="204"/>
      <c r="DG41" s="204"/>
      <c r="DH41" s="204"/>
      <c r="DI41" s="204"/>
      <c r="DJ41" s="204"/>
      <c r="DK41" s="204"/>
      <c r="DL41" s="204"/>
      <c r="DM41" s="204"/>
      <c r="DN41" s="204"/>
      <c r="DO41" s="204"/>
      <c r="DP41" s="204"/>
      <c r="DQ41" s="204"/>
      <c r="DR41" s="204"/>
      <c r="DS41" s="204"/>
      <c r="DT41" s="204"/>
      <c r="DU41" s="204"/>
      <c r="DV41" s="204"/>
      <c r="DW41" s="204"/>
      <c r="DX41" s="204"/>
      <c r="DY41" s="204"/>
      <c r="DZ41" s="204"/>
      <c r="EA41" s="204"/>
      <c r="EB41" s="204"/>
      <c r="EC41" s="204"/>
      <c r="ED41" s="204"/>
      <c r="EE41" s="204"/>
      <c r="EF41" s="204"/>
      <c r="EG41" s="204"/>
      <c r="EH41" s="250">
        <f t="shared" si="23"/>
        <v>12492525.869999997</v>
      </c>
      <c r="EI41" s="250">
        <f t="shared" si="18"/>
        <v>3898443.9299999997</v>
      </c>
      <c r="EJ41" s="250">
        <f t="shared" si="18"/>
        <v>8594081.9399999995</v>
      </c>
      <c r="EK41" s="204">
        <f t="shared" si="10"/>
        <v>12492525.869999997</v>
      </c>
      <c r="EL41" s="204">
        <f t="shared" si="24"/>
        <v>0</v>
      </c>
      <c r="EM41" s="204">
        <f t="shared" si="12"/>
        <v>502287.23000000231</v>
      </c>
      <c r="EN41" s="204">
        <f t="shared" si="13"/>
        <v>3898443.9299999978</v>
      </c>
      <c r="EO41" s="204">
        <f t="shared" si="14"/>
        <v>2007474.1300000027</v>
      </c>
      <c r="EP41" s="204"/>
      <c r="EQ41" s="55">
        <v>44740</v>
      </c>
      <c r="ER41" s="55">
        <v>44919</v>
      </c>
      <c r="ES41" s="443"/>
      <c r="ET41" s="47" t="s">
        <v>1316</v>
      </c>
      <c r="EU41" s="47" t="s">
        <v>1317</v>
      </c>
      <c r="EV41" s="18"/>
      <c r="EW41" s="18"/>
      <c r="EX41" s="18"/>
      <c r="EY41" s="331">
        <f t="shared" si="15"/>
        <v>0.96134709855888556</v>
      </c>
      <c r="EZ41" s="332">
        <v>1</v>
      </c>
      <c r="FA41" s="336"/>
      <c r="FB41" s="336">
        <f t="shared" si="16"/>
        <v>-1</v>
      </c>
      <c r="FC41" s="337">
        <f t="shared" si="25"/>
        <v>0.96134709855888556</v>
      </c>
      <c r="FD41" s="338" t="s">
        <v>147</v>
      </c>
      <c r="FE41" s="47" t="s">
        <v>151</v>
      </c>
      <c r="FF41" s="47"/>
      <c r="FG41" s="47" t="s">
        <v>138</v>
      </c>
      <c r="FH41" s="47" t="s">
        <v>148</v>
      </c>
      <c r="FI41" s="25">
        <v>25000</v>
      </c>
      <c r="FJ41" s="51" t="s">
        <v>1428</v>
      </c>
    </row>
    <row r="42" spans="1:166" ht="240" customHeight="1">
      <c r="A42" s="15">
        <f>A41+1</f>
        <v>7</v>
      </c>
      <c r="B42" s="5" t="s">
        <v>1098</v>
      </c>
      <c r="C42" s="56" t="s">
        <v>1205</v>
      </c>
      <c r="D42" s="17"/>
      <c r="E42" s="17"/>
      <c r="F42" s="47">
        <v>121516</v>
      </c>
      <c r="G42" s="18" t="s">
        <v>223</v>
      </c>
      <c r="H42" s="19">
        <f>13000000+1500000</f>
        <v>14500000</v>
      </c>
      <c r="I42" s="19">
        <f>12997665.66+1499981.03</f>
        <v>14497646.689999999</v>
      </c>
      <c r="J42" s="18" t="s">
        <v>132</v>
      </c>
      <c r="K42" s="18" t="s">
        <v>704</v>
      </c>
      <c r="L42" s="18" t="s">
        <v>705</v>
      </c>
      <c r="M42" s="47" t="s">
        <v>706</v>
      </c>
      <c r="N42" s="18" t="s">
        <v>707</v>
      </c>
      <c r="O42" s="47">
        <v>7223848027</v>
      </c>
      <c r="P42" s="389" t="s">
        <v>717</v>
      </c>
      <c r="Q42" s="21"/>
      <c r="R42" s="22"/>
      <c r="S42" s="22"/>
      <c r="T42" s="22"/>
      <c r="U42" s="22"/>
      <c r="V42" s="48">
        <v>44735</v>
      </c>
      <c r="W42" s="48">
        <v>44739</v>
      </c>
      <c r="X42" s="23">
        <f>11204884.19</f>
        <v>11204884.189999999</v>
      </c>
      <c r="Y42" s="23">
        <f t="shared" si="4"/>
        <v>12997665.660399998</v>
      </c>
      <c r="Z42" s="213">
        <v>14497646.68</v>
      </c>
      <c r="AA42" s="204">
        <f t="shared" si="9"/>
        <v>2353.320000000298</v>
      </c>
      <c r="AB42" s="204">
        <v>3899299.7</v>
      </c>
      <c r="AC42" s="204">
        <v>3899299.7</v>
      </c>
      <c r="AD42" s="204">
        <v>2092341.17</v>
      </c>
      <c r="AE42" s="204">
        <v>627702.35</v>
      </c>
      <c r="AF42" s="50">
        <f t="shared" si="5"/>
        <v>1464638.8199999998</v>
      </c>
      <c r="AG42" s="253">
        <v>44799</v>
      </c>
      <c r="AH42" s="204">
        <v>4122697.83</v>
      </c>
      <c r="AI42" s="204">
        <v>1236809.3500000001</v>
      </c>
      <c r="AJ42" s="204">
        <f t="shared" si="6"/>
        <v>2885888.48</v>
      </c>
      <c r="AK42" s="253">
        <v>44880</v>
      </c>
      <c r="AL42" s="50">
        <v>2531172.54</v>
      </c>
      <c r="AM42" s="50">
        <v>759351.76</v>
      </c>
      <c r="AN42" s="204">
        <f t="shared" si="26"/>
        <v>1771820.78</v>
      </c>
      <c r="AO42" s="253">
        <v>44896</v>
      </c>
      <c r="AP42" s="204">
        <v>627725.23</v>
      </c>
      <c r="AQ42" s="204">
        <v>188317.57</v>
      </c>
      <c r="AR42" s="204">
        <f>AP42-AQ42</f>
        <v>439407.66</v>
      </c>
      <c r="AS42" s="253">
        <v>45009</v>
      </c>
      <c r="AT42" s="204">
        <v>756055.64</v>
      </c>
      <c r="AU42" s="204">
        <v>226816.69</v>
      </c>
      <c r="AV42" s="204">
        <f>AT42-AU42</f>
        <v>529238.94999999995</v>
      </c>
      <c r="AW42" s="249">
        <v>45009</v>
      </c>
      <c r="AX42" s="204">
        <v>2087460.26</v>
      </c>
      <c r="AY42" s="204">
        <v>626238.07999999996</v>
      </c>
      <c r="AZ42" s="204">
        <f>AX42-AY42</f>
        <v>1461222.1800000002</v>
      </c>
      <c r="BA42" s="249">
        <v>45009</v>
      </c>
      <c r="BB42" s="204">
        <v>740305.7</v>
      </c>
      <c r="BC42" s="204">
        <v>234063.9</v>
      </c>
      <c r="BD42" s="204">
        <f>BB42-BC42</f>
        <v>506241.79999999993</v>
      </c>
      <c r="BE42" s="249">
        <v>45009</v>
      </c>
      <c r="BF42" s="204">
        <v>0</v>
      </c>
      <c r="BG42" s="204">
        <v>0</v>
      </c>
      <c r="BH42" s="204">
        <f>BF42-BG42</f>
        <v>0</v>
      </c>
      <c r="BI42" s="204" t="s">
        <v>305</v>
      </c>
      <c r="BJ42" s="204">
        <v>280597.46999999997</v>
      </c>
      <c r="BK42" s="204">
        <v>0</v>
      </c>
      <c r="BL42" s="204">
        <f>BJ42-BK42</f>
        <v>280597.46999999997</v>
      </c>
      <c r="BM42" s="204" t="s">
        <v>1285</v>
      </c>
      <c r="BN42" s="204">
        <v>87895.72</v>
      </c>
      <c r="BO42" s="204">
        <v>0</v>
      </c>
      <c r="BP42" s="204">
        <f>BN42-BO42</f>
        <v>87895.72</v>
      </c>
      <c r="BQ42" s="204" t="s">
        <v>1286</v>
      </c>
      <c r="BR42" s="204">
        <v>53000.03</v>
      </c>
      <c r="BS42" s="204">
        <v>0</v>
      </c>
      <c r="BT42" s="204">
        <f>BR42-BS42</f>
        <v>53000.03</v>
      </c>
      <c r="BU42" s="204" t="s">
        <v>1381</v>
      </c>
      <c r="BV42" s="204"/>
      <c r="BW42" s="204"/>
      <c r="BX42" s="204"/>
      <c r="BY42" s="204"/>
      <c r="BZ42" s="204"/>
      <c r="CA42" s="204"/>
      <c r="CB42" s="204"/>
      <c r="CC42" s="204"/>
      <c r="CD42" s="204"/>
      <c r="CE42" s="204"/>
      <c r="CF42" s="204"/>
      <c r="CG42" s="204"/>
      <c r="CH42" s="204"/>
      <c r="CI42" s="204"/>
      <c r="CJ42" s="204"/>
      <c r="CK42" s="204"/>
      <c r="CL42" s="204"/>
      <c r="CM42" s="204"/>
      <c r="CN42" s="204"/>
      <c r="CO42" s="204"/>
      <c r="CP42" s="204"/>
      <c r="CQ42" s="204"/>
      <c r="CR42" s="204"/>
      <c r="CS42" s="204"/>
      <c r="CT42" s="204"/>
      <c r="CU42" s="204"/>
      <c r="CV42" s="204"/>
      <c r="CW42" s="204"/>
      <c r="CX42" s="204"/>
      <c r="CY42" s="204"/>
      <c r="CZ42" s="204"/>
      <c r="DA42" s="204"/>
      <c r="DB42" s="204"/>
      <c r="DC42" s="204"/>
      <c r="DD42" s="204"/>
      <c r="DE42" s="204"/>
      <c r="DF42" s="204"/>
      <c r="DG42" s="204"/>
      <c r="DH42" s="204"/>
      <c r="DI42" s="204"/>
      <c r="DJ42" s="204"/>
      <c r="DK42" s="204"/>
      <c r="DL42" s="204"/>
      <c r="DM42" s="204"/>
      <c r="DN42" s="204"/>
      <c r="DO42" s="204"/>
      <c r="DP42" s="204"/>
      <c r="DQ42" s="204"/>
      <c r="DR42" s="204"/>
      <c r="DS42" s="204"/>
      <c r="DT42" s="204"/>
      <c r="DU42" s="204"/>
      <c r="DV42" s="204"/>
      <c r="DW42" s="204"/>
      <c r="DX42" s="204"/>
      <c r="DY42" s="204"/>
      <c r="DZ42" s="204"/>
      <c r="EA42" s="204"/>
      <c r="EB42" s="204"/>
      <c r="EC42" s="204"/>
      <c r="ED42" s="204"/>
      <c r="EE42" s="204"/>
      <c r="EF42" s="204"/>
      <c r="EG42" s="204"/>
      <c r="EH42" s="250">
        <f t="shared" si="23"/>
        <v>13379251.59</v>
      </c>
      <c r="EI42" s="250">
        <f t="shared" si="18"/>
        <v>3899299.6999999997</v>
      </c>
      <c r="EJ42" s="250">
        <f t="shared" si="18"/>
        <v>9479951.8900000025</v>
      </c>
      <c r="EK42" s="204">
        <f t="shared" si="10"/>
        <v>13379251.59</v>
      </c>
      <c r="EL42" s="204">
        <f t="shared" si="24"/>
        <v>0</v>
      </c>
      <c r="EM42" s="204">
        <f t="shared" si="12"/>
        <v>1118395.0899999999</v>
      </c>
      <c r="EN42" s="204">
        <f t="shared" si="13"/>
        <v>3899299.6999999974</v>
      </c>
      <c r="EO42" s="204">
        <f t="shared" si="14"/>
        <v>1120748.4100000001</v>
      </c>
      <c r="EP42" s="204"/>
      <c r="EQ42" s="55">
        <v>44740</v>
      </c>
      <c r="ER42" s="55">
        <v>44919</v>
      </c>
      <c r="ES42" s="318" t="s">
        <v>1102</v>
      </c>
      <c r="ET42" s="47" t="s">
        <v>1316</v>
      </c>
      <c r="EU42" s="47" t="s">
        <v>1317</v>
      </c>
      <c r="EV42" s="18"/>
      <c r="EW42" s="18"/>
      <c r="EX42" s="18"/>
      <c r="EY42" s="331">
        <f t="shared" si="15"/>
        <v>0.9228567839535734</v>
      </c>
      <c r="EZ42" s="332">
        <v>1</v>
      </c>
      <c r="FA42" s="336"/>
      <c r="FB42" s="336">
        <f t="shared" si="16"/>
        <v>-1</v>
      </c>
      <c r="FC42" s="337">
        <f t="shared" si="25"/>
        <v>0.9228567839535734</v>
      </c>
      <c r="FD42" s="338" t="s">
        <v>147</v>
      </c>
      <c r="FE42" s="47" t="s">
        <v>151</v>
      </c>
      <c r="FF42" s="47"/>
      <c r="FG42" s="47" t="s">
        <v>138</v>
      </c>
      <c r="FH42" s="47" t="s">
        <v>148</v>
      </c>
      <c r="FI42" s="25">
        <v>20000</v>
      </c>
      <c r="FJ42" s="51" t="s">
        <v>1429</v>
      </c>
    </row>
    <row r="43" spans="1:166" ht="135.75" customHeight="1">
      <c r="A43" s="15">
        <f>A42+1</f>
        <v>8</v>
      </c>
      <c r="B43" s="5" t="s">
        <v>1099</v>
      </c>
      <c r="C43" s="56" t="s">
        <v>1206</v>
      </c>
      <c r="D43" s="17"/>
      <c r="E43" s="17"/>
      <c r="F43" s="47">
        <v>121578</v>
      </c>
      <c r="G43" s="18" t="s">
        <v>234</v>
      </c>
      <c r="H43" s="19">
        <f>10000000+3500000</f>
        <v>13500000</v>
      </c>
      <c r="I43" s="19">
        <f>9993784.24+3500000</f>
        <v>13493784.24</v>
      </c>
      <c r="J43" s="18" t="s">
        <v>132</v>
      </c>
      <c r="K43" s="18" t="s">
        <v>906</v>
      </c>
      <c r="L43" s="18" t="s">
        <v>941</v>
      </c>
      <c r="M43" s="47" t="s">
        <v>300</v>
      </c>
      <c r="N43" s="18" t="s">
        <v>942</v>
      </c>
      <c r="O43" s="47">
        <v>5552085416</v>
      </c>
      <c r="P43" s="207" t="s">
        <v>1037</v>
      </c>
      <c r="Q43" s="21"/>
      <c r="R43" s="22"/>
      <c r="S43" s="22"/>
      <c r="T43" s="22"/>
      <c r="U43" s="22"/>
      <c r="V43" s="48">
        <v>44799</v>
      </c>
      <c r="W43" s="48">
        <v>44803</v>
      </c>
      <c r="X43" s="23">
        <f>8615331.24</f>
        <v>8615331.2400000002</v>
      </c>
      <c r="Y43" s="23">
        <f t="shared" si="4"/>
        <v>9993784.2383999992</v>
      </c>
      <c r="Z43" s="213">
        <v>13493784.24</v>
      </c>
      <c r="AA43" s="204">
        <f t="shared" si="9"/>
        <v>6215.7599999997765</v>
      </c>
      <c r="AB43" s="204">
        <v>0</v>
      </c>
      <c r="AC43" s="204">
        <v>0</v>
      </c>
      <c r="AD43" s="204">
        <v>5041476.5</v>
      </c>
      <c r="AE43" s="204">
        <v>0</v>
      </c>
      <c r="AF43" s="50">
        <f t="shared" si="5"/>
        <v>5041476.5</v>
      </c>
      <c r="AG43" s="253">
        <v>44852</v>
      </c>
      <c r="AH43" s="204">
        <v>2496270.19</v>
      </c>
      <c r="AI43" s="204">
        <v>0</v>
      </c>
      <c r="AJ43" s="204">
        <f t="shared" si="6"/>
        <v>2496270.19</v>
      </c>
      <c r="AK43" s="253">
        <v>44895</v>
      </c>
      <c r="AL43" s="204">
        <v>2455820.0699999998</v>
      </c>
      <c r="AM43" s="254">
        <v>0</v>
      </c>
      <c r="AN43" s="204">
        <f t="shared" si="26"/>
        <v>2455820.0699999998</v>
      </c>
      <c r="AO43" s="253">
        <v>44902</v>
      </c>
      <c r="AP43" s="204">
        <v>0</v>
      </c>
      <c r="AQ43" s="204">
        <v>0</v>
      </c>
      <c r="AR43" s="204">
        <v>0</v>
      </c>
      <c r="AS43" s="249" t="s">
        <v>1269</v>
      </c>
      <c r="AT43" s="204">
        <v>3499690.85</v>
      </c>
      <c r="AU43" s="204">
        <v>0</v>
      </c>
      <c r="AV43" s="204">
        <f>AT43-AU43</f>
        <v>3499690.85</v>
      </c>
      <c r="AW43" s="312" t="s">
        <v>1270</v>
      </c>
      <c r="AX43" s="204">
        <v>0</v>
      </c>
      <c r="AY43" s="204">
        <v>0</v>
      </c>
      <c r="AZ43" s="204">
        <v>0</v>
      </c>
      <c r="BA43" s="204" t="s">
        <v>1271</v>
      </c>
      <c r="BB43" s="204"/>
      <c r="BC43" s="204"/>
      <c r="BD43" s="204"/>
      <c r="BE43" s="204"/>
      <c r="BF43" s="204"/>
      <c r="BG43" s="204"/>
      <c r="BH43" s="204"/>
      <c r="BI43" s="204"/>
      <c r="BJ43" s="204"/>
      <c r="BK43" s="204"/>
      <c r="BL43" s="204"/>
      <c r="BM43" s="204"/>
      <c r="BN43" s="204"/>
      <c r="BO43" s="204"/>
      <c r="BP43" s="204"/>
      <c r="BQ43" s="204"/>
      <c r="BR43" s="204"/>
      <c r="BS43" s="204"/>
      <c r="BT43" s="204"/>
      <c r="BU43" s="204"/>
      <c r="BV43" s="204"/>
      <c r="BW43" s="204"/>
      <c r="BX43" s="204"/>
      <c r="BY43" s="204"/>
      <c r="BZ43" s="204"/>
      <c r="CA43" s="204"/>
      <c r="CB43" s="204"/>
      <c r="CC43" s="204"/>
      <c r="CD43" s="204"/>
      <c r="CE43" s="204"/>
      <c r="CF43" s="204"/>
      <c r="CG43" s="204"/>
      <c r="CH43" s="204"/>
      <c r="CI43" s="204"/>
      <c r="CJ43" s="204"/>
      <c r="CK43" s="204"/>
      <c r="CL43" s="204"/>
      <c r="CM43" s="204"/>
      <c r="CN43" s="204"/>
      <c r="CO43" s="204"/>
      <c r="CP43" s="204"/>
      <c r="CQ43" s="204"/>
      <c r="CR43" s="204"/>
      <c r="CS43" s="204"/>
      <c r="CT43" s="204"/>
      <c r="CU43" s="204"/>
      <c r="CV43" s="204"/>
      <c r="CW43" s="204"/>
      <c r="CX43" s="204"/>
      <c r="CY43" s="204"/>
      <c r="CZ43" s="204"/>
      <c r="DA43" s="204"/>
      <c r="DB43" s="204"/>
      <c r="DC43" s="204"/>
      <c r="DD43" s="204"/>
      <c r="DE43" s="204"/>
      <c r="DF43" s="204"/>
      <c r="DG43" s="204"/>
      <c r="DH43" s="204"/>
      <c r="DI43" s="204"/>
      <c r="DJ43" s="204"/>
      <c r="DK43" s="204"/>
      <c r="DL43" s="204"/>
      <c r="DM43" s="204"/>
      <c r="DN43" s="204"/>
      <c r="DO43" s="204"/>
      <c r="DP43" s="204"/>
      <c r="DQ43" s="204"/>
      <c r="DR43" s="204"/>
      <c r="DS43" s="204"/>
      <c r="DT43" s="204"/>
      <c r="DU43" s="204"/>
      <c r="DV43" s="204"/>
      <c r="DW43" s="204"/>
      <c r="DX43" s="204"/>
      <c r="DY43" s="204"/>
      <c r="DZ43" s="204"/>
      <c r="EA43" s="204"/>
      <c r="EB43" s="204"/>
      <c r="EC43" s="204"/>
      <c r="ED43" s="204"/>
      <c r="EE43" s="204"/>
      <c r="EF43" s="204"/>
      <c r="EG43" s="204"/>
      <c r="EH43" s="250">
        <f t="shared" si="23"/>
        <v>13493257.609999999</v>
      </c>
      <c r="EI43" s="250">
        <f t="shared" si="18"/>
        <v>0</v>
      </c>
      <c r="EJ43" s="250">
        <f t="shared" si="18"/>
        <v>13493257.609999999</v>
      </c>
      <c r="EK43" s="204">
        <f t="shared" si="10"/>
        <v>13493257.609999999</v>
      </c>
      <c r="EL43" s="204">
        <f t="shared" si="24"/>
        <v>0</v>
      </c>
      <c r="EM43" s="204">
        <f t="shared" si="12"/>
        <v>526.63000000081956</v>
      </c>
      <c r="EN43" s="204">
        <f t="shared" si="13"/>
        <v>0</v>
      </c>
      <c r="EO43" s="204">
        <f t="shared" si="14"/>
        <v>6742.390000000596</v>
      </c>
      <c r="EP43" s="204"/>
      <c r="EQ43" s="55">
        <v>44804</v>
      </c>
      <c r="ER43" s="55">
        <v>44911</v>
      </c>
      <c r="ES43" s="353" t="s">
        <v>1103</v>
      </c>
      <c r="ET43" s="18"/>
      <c r="EU43" s="18"/>
      <c r="EV43" s="18"/>
      <c r="EW43" s="18"/>
      <c r="EX43" s="47" t="s">
        <v>1352</v>
      </c>
      <c r="EY43" s="331">
        <f t="shared" si="15"/>
        <v>0.999960972401023</v>
      </c>
      <c r="EZ43" s="332">
        <v>1</v>
      </c>
      <c r="FA43" s="336"/>
      <c r="FB43" s="336">
        <f t="shared" si="16"/>
        <v>-1</v>
      </c>
      <c r="FC43" s="337">
        <f t="shared" si="25"/>
        <v>0.999960972401023</v>
      </c>
      <c r="FD43" s="338" t="s">
        <v>147</v>
      </c>
      <c r="FE43" s="47" t="s">
        <v>235</v>
      </c>
      <c r="FF43" s="47"/>
      <c r="FG43" s="47" t="s">
        <v>177</v>
      </c>
      <c r="FH43" s="47" t="s">
        <v>140</v>
      </c>
      <c r="FI43" s="25">
        <v>395</v>
      </c>
      <c r="FJ43" s="51" t="s">
        <v>1431</v>
      </c>
    </row>
    <row r="44" spans="1:166" ht="135.75" hidden="1" customHeight="1">
      <c r="A44" s="15"/>
      <c r="B44" s="5" t="s">
        <v>247</v>
      </c>
      <c r="C44" s="56" t="s">
        <v>1077</v>
      </c>
      <c r="D44" s="17"/>
      <c r="E44" s="17"/>
      <c r="F44" s="47">
        <v>121584</v>
      </c>
      <c r="G44" s="18" t="s">
        <v>1041</v>
      </c>
      <c r="H44" s="19">
        <v>11000000</v>
      </c>
      <c r="I44" s="19">
        <v>6514855.3899999997</v>
      </c>
      <c r="J44" s="18" t="s">
        <v>132</v>
      </c>
      <c r="K44" s="18" t="s">
        <v>700</v>
      </c>
      <c r="L44" s="18" t="s">
        <v>701</v>
      </c>
      <c r="M44" s="47" t="s">
        <v>702</v>
      </c>
      <c r="N44" s="18" t="s">
        <v>703</v>
      </c>
      <c r="O44" s="47" t="s">
        <v>939</v>
      </c>
      <c r="P44" s="207" t="s">
        <v>940</v>
      </c>
      <c r="Q44" s="21"/>
      <c r="R44" s="22"/>
      <c r="S44" s="22"/>
      <c r="T44" s="22"/>
      <c r="U44" s="22"/>
      <c r="V44" s="48">
        <v>44791</v>
      </c>
      <c r="W44" s="48">
        <v>44795</v>
      </c>
      <c r="X44" s="23">
        <v>5616254.6500000004</v>
      </c>
      <c r="Y44" s="23">
        <f t="shared" si="4"/>
        <v>6514855.3940000003</v>
      </c>
      <c r="Z44" s="23">
        <v>6514855.3899999997</v>
      </c>
      <c r="AA44" s="204">
        <f t="shared" si="9"/>
        <v>4485144.6100000003</v>
      </c>
      <c r="AB44" s="204">
        <v>1954456.62</v>
      </c>
      <c r="AC44" s="204">
        <v>1954456.62</v>
      </c>
      <c r="AD44" s="204">
        <v>3752794.24</v>
      </c>
      <c r="AE44" s="204">
        <v>1125838.27</v>
      </c>
      <c r="AF44" s="50">
        <f t="shared" si="5"/>
        <v>2626955.9700000002</v>
      </c>
      <c r="AG44" s="253">
        <v>44902</v>
      </c>
      <c r="AH44" s="204">
        <v>2707835.18</v>
      </c>
      <c r="AI44" s="204">
        <v>828618.35</v>
      </c>
      <c r="AJ44" s="204">
        <f t="shared" si="6"/>
        <v>1879216.83</v>
      </c>
      <c r="AK44" s="253">
        <v>44903</v>
      </c>
      <c r="AL44" s="50">
        <v>0</v>
      </c>
      <c r="AM44" s="254">
        <v>0</v>
      </c>
      <c r="AN44" s="204">
        <f t="shared" si="26"/>
        <v>0</v>
      </c>
      <c r="AO44" s="253" t="s">
        <v>305</v>
      </c>
      <c r="AP44" s="204"/>
      <c r="AQ44" s="204"/>
      <c r="AR44" s="204"/>
      <c r="AS44" s="253"/>
      <c r="AT44" s="204"/>
      <c r="AU44" s="204"/>
      <c r="AV44" s="204"/>
      <c r="AW44" s="253"/>
      <c r="AX44" s="204"/>
      <c r="AY44" s="204"/>
      <c r="AZ44" s="204"/>
      <c r="BA44" s="204"/>
      <c r="BB44" s="204"/>
      <c r="BC44" s="204"/>
      <c r="BD44" s="204"/>
      <c r="BE44" s="204"/>
      <c r="BF44" s="204"/>
      <c r="BG44" s="204"/>
      <c r="BH44" s="204"/>
      <c r="BI44" s="204"/>
      <c r="BJ44" s="204"/>
      <c r="BK44" s="204"/>
      <c r="BL44" s="204"/>
      <c r="BM44" s="204"/>
      <c r="BN44" s="204"/>
      <c r="BO44" s="204"/>
      <c r="BP44" s="204"/>
      <c r="BQ44" s="204"/>
      <c r="BR44" s="204"/>
      <c r="BS44" s="204"/>
      <c r="BT44" s="204"/>
      <c r="BU44" s="204"/>
      <c r="BV44" s="204"/>
      <c r="BW44" s="204"/>
      <c r="BX44" s="204"/>
      <c r="BY44" s="204"/>
      <c r="BZ44" s="204"/>
      <c r="CA44" s="204"/>
      <c r="CB44" s="204"/>
      <c r="CC44" s="204"/>
      <c r="CD44" s="204"/>
      <c r="CE44" s="204"/>
      <c r="CF44" s="204"/>
      <c r="CG44" s="204"/>
      <c r="CH44" s="204"/>
      <c r="CI44" s="204"/>
      <c r="CJ44" s="204"/>
      <c r="CK44" s="204"/>
      <c r="CL44" s="204"/>
      <c r="CM44" s="204"/>
      <c r="CN44" s="204"/>
      <c r="CO44" s="204"/>
      <c r="CP44" s="204"/>
      <c r="CQ44" s="204"/>
      <c r="CR44" s="204"/>
      <c r="CS44" s="204"/>
      <c r="CT44" s="204"/>
      <c r="CU44" s="204"/>
      <c r="CV44" s="204"/>
      <c r="CW44" s="204"/>
      <c r="CX44" s="204"/>
      <c r="CY44" s="204"/>
      <c r="CZ44" s="204"/>
      <c r="DA44" s="204"/>
      <c r="DB44" s="204"/>
      <c r="DC44" s="204"/>
      <c r="DD44" s="204"/>
      <c r="DE44" s="204"/>
      <c r="DF44" s="204"/>
      <c r="DG44" s="204"/>
      <c r="DH44" s="204"/>
      <c r="DI44" s="204"/>
      <c r="DJ44" s="204"/>
      <c r="DK44" s="204"/>
      <c r="DL44" s="204"/>
      <c r="DM44" s="204"/>
      <c r="DN44" s="204"/>
      <c r="DO44" s="204"/>
      <c r="DP44" s="204"/>
      <c r="DQ44" s="204"/>
      <c r="DR44" s="204"/>
      <c r="DS44" s="204"/>
      <c r="DT44" s="204"/>
      <c r="DU44" s="204"/>
      <c r="DV44" s="204"/>
      <c r="DW44" s="204"/>
      <c r="DX44" s="204"/>
      <c r="DY44" s="204"/>
      <c r="DZ44" s="204"/>
      <c r="EA44" s="204"/>
      <c r="EB44" s="204"/>
      <c r="EC44" s="204"/>
      <c r="ED44" s="204"/>
      <c r="EE44" s="204"/>
      <c r="EF44" s="204"/>
      <c r="EG44" s="204"/>
      <c r="EH44" s="250">
        <f t="shared" si="23"/>
        <v>6460629.4199999999</v>
      </c>
      <c r="EI44" s="250">
        <f t="shared" si="18"/>
        <v>1954456.62</v>
      </c>
      <c r="EJ44" s="250">
        <f t="shared" si="18"/>
        <v>4506172.8000000007</v>
      </c>
      <c r="EK44" s="204">
        <f t="shared" si="10"/>
        <v>6460629.419999999</v>
      </c>
      <c r="EL44" s="204">
        <f t="shared" si="24"/>
        <v>0</v>
      </c>
      <c r="EM44" s="204">
        <f t="shared" si="12"/>
        <v>54225.969999999739</v>
      </c>
      <c r="EN44" s="204">
        <f t="shared" si="13"/>
        <v>1954456.6199999992</v>
      </c>
      <c r="EO44" s="204">
        <f t="shared" si="14"/>
        <v>4539370.58</v>
      </c>
      <c r="EP44" s="204"/>
      <c r="EQ44" s="55">
        <v>44796</v>
      </c>
      <c r="ER44" s="55">
        <v>44909</v>
      </c>
      <c r="ES44" s="18"/>
      <c r="ET44" s="18"/>
      <c r="EU44" s="18"/>
      <c r="EV44" s="18"/>
      <c r="EW44" s="18"/>
      <c r="EX44" s="47" t="s">
        <v>1351</v>
      </c>
      <c r="EY44" s="331">
        <f t="shared" si="15"/>
        <v>0.99167656582474051</v>
      </c>
      <c r="EZ44" s="332">
        <v>1</v>
      </c>
      <c r="FA44" s="336"/>
      <c r="FB44" s="336">
        <f t="shared" si="16"/>
        <v>-1</v>
      </c>
      <c r="FC44" s="337">
        <f t="shared" si="25"/>
        <v>0.99167656582474029</v>
      </c>
      <c r="FD44" s="338" t="s">
        <v>147</v>
      </c>
      <c r="FE44" s="47" t="s">
        <v>1043</v>
      </c>
      <c r="FF44" s="47"/>
      <c r="FG44" s="47" t="s">
        <v>138</v>
      </c>
      <c r="FH44" s="47" t="s">
        <v>148</v>
      </c>
      <c r="FI44" s="25"/>
      <c r="FJ44" s="51" t="s">
        <v>1296</v>
      </c>
    </row>
    <row r="45" spans="1:166" ht="135.75" hidden="1" customHeight="1">
      <c r="A45" s="15"/>
      <c r="B45" s="5" t="s">
        <v>247</v>
      </c>
      <c r="C45" s="16"/>
      <c r="D45" s="125" t="s">
        <v>1034</v>
      </c>
      <c r="E45" s="125"/>
      <c r="F45" s="47">
        <v>121585</v>
      </c>
      <c r="G45" s="18" t="s">
        <v>245</v>
      </c>
      <c r="H45" s="19">
        <f>12000000-12000000</f>
        <v>0</v>
      </c>
      <c r="I45" s="19">
        <v>0</v>
      </c>
      <c r="J45" s="18" t="s">
        <v>132</v>
      </c>
      <c r="K45" s="18"/>
      <c r="L45" s="18"/>
      <c r="M45" s="47"/>
      <c r="N45" s="18"/>
      <c r="O45" s="47"/>
      <c r="P45" s="20"/>
      <c r="Q45" s="21"/>
      <c r="R45" s="22"/>
      <c r="S45" s="22"/>
      <c r="T45" s="22"/>
      <c r="U45" s="22"/>
      <c r="V45" s="48"/>
      <c r="W45" s="48"/>
      <c r="X45" s="23"/>
      <c r="Y45" s="23">
        <f t="shared" si="4"/>
        <v>0</v>
      </c>
      <c r="Z45" s="23"/>
      <c r="AA45" s="204">
        <f t="shared" si="9"/>
        <v>0</v>
      </c>
      <c r="AB45" s="204"/>
      <c r="AC45" s="204"/>
      <c r="AD45" s="204"/>
      <c r="AE45" s="204"/>
      <c r="AF45" s="50">
        <f t="shared" si="5"/>
        <v>0</v>
      </c>
      <c r="AG45" s="253"/>
      <c r="AH45" s="204"/>
      <c r="AI45" s="204"/>
      <c r="AJ45" s="204">
        <f t="shared" si="6"/>
        <v>0</v>
      </c>
      <c r="AK45" s="253"/>
      <c r="AL45" s="50"/>
      <c r="AM45" s="254"/>
      <c r="AN45" s="204">
        <f t="shared" si="26"/>
        <v>0</v>
      </c>
      <c r="AO45" s="253"/>
      <c r="AP45" s="204"/>
      <c r="AQ45" s="204"/>
      <c r="AR45" s="204"/>
      <c r="AS45" s="253"/>
      <c r="AT45" s="204"/>
      <c r="AU45" s="204"/>
      <c r="AV45" s="204"/>
      <c r="AW45" s="249"/>
      <c r="AX45" s="204"/>
      <c r="AY45" s="204"/>
      <c r="AZ45" s="204"/>
      <c r="BA45" s="204"/>
      <c r="BB45" s="204"/>
      <c r="BC45" s="204"/>
      <c r="BD45" s="204"/>
      <c r="BE45" s="204"/>
      <c r="BF45" s="204"/>
      <c r="BG45" s="204"/>
      <c r="BH45" s="204"/>
      <c r="BI45" s="204"/>
      <c r="BJ45" s="204"/>
      <c r="BK45" s="204"/>
      <c r="BL45" s="204"/>
      <c r="BM45" s="204"/>
      <c r="BN45" s="204"/>
      <c r="BO45" s="204"/>
      <c r="BP45" s="204"/>
      <c r="BQ45" s="204"/>
      <c r="BR45" s="204"/>
      <c r="BS45" s="204"/>
      <c r="BT45" s="204"/>
      <c r="BU45" s="204"/>
      <c r="BV45" s="204"/>
      <c r="BW45" s="204"/>
      <c r="BX45" s="204"/>
      <c r="BY45" s="204"/>
      <c r="BZ45" s="204"/>
      <c r="CA45" s="204"/>
      <c r="CB45" s="204"/>
      <c r="CC45" s="204"/>
      <c r="CD45" s="204"/>
      <c r="CE45" s="204"/>
      <c r="CF45" s="204"/>
      <c r="CG45" s="204"/>
      <c r="CH45" s="204"/>
      <c r="CI45" s="204"/>
      <c r="CJ45" s="204"/>
      <c r="CK45" s="204"/>
      <c r="CL45" s="204"/>
      <c r="CM45" s="204"/>
      <c r="CN45" s="204"/>
      <c r="CO45" s="204"/>
      <c r="CP45" s="204"/>
      <c r="CQ45" s="204"/>
      <c r="CR45" s="204"/>
      <c r="CS45" s="204"/>
      <c r="CT45" s="204"/>
      <c r="CU45" s="204"/>
      <c r="CV45" s="204"/>
      <c r="CW45" s="204"/>
      <c r="CX45" s="204"/>
      <c r="CY45" s="204"/>
      <c r="CZ45" s="204"/>
      <c r="DA45" s="204"/>
      <c r="DB45" s="204"/>
      <c r="DC45" s="204"/>
      <c r="DD45" s="204"/>
      <c r="DE45" s="204"/>
      <c r="DF45" s="204"/>
      <c r="DG45" s="204"/>
      <c r="DH45" s="204"/>
      <c r="DI45" s="204"/>
      <c r="DJ45" s="204"/>
      <c r="DK45" s="204"/>
      <c r="DL45" s="204"/>
      <c r="DM45" s="204"/>
      <c r="DN45" s="204"/>
      <c r="DO45" s="204"/>
      <c r="DP45" s="204"/>
      <c r="DQ45" s="204"/>
      <c r="DR45" s="204"/>
      <c r="DS45" s="204"/>
      <c r="DT45" s="204"/>
      <c r="DU45" s="204"/>
      <c r="DV45" s="204"/>
      <c r="DW45" s="204"/>
      <c r="DX45" s="204"/>
      <c r="DY45" s="204"/>
      <c r="DZ45" s="204"/>
      <c r="EA45" s="204"/>
      <c r="EB45" s="204"/>
      <c r="EC45" s="204"/>
      <c r="ED45" s="204"/>
      <c r="EE45" s="204"/>
      <c r="EF45" s="204"/>
      <c r="EG45" s="204"/>
      <c r="EH45" s="250">
        <f t="shared" si="23"/>
        <v>0</v>
      </c>
      <c r="EI45" s="250">
        <f t="shared" si="18"/>
        <v>0</v>
      </c>
      <c r="EJ45" s="250">
        <f t="shared" si="18"/>
        <v>0</v>
      </c>
      <c r="EK45" s="204">
        <f t="shared" si="10"/>
        <v>0</v>
      </c>
      <c r="EL45" s="204">
        <f t="shared" si="24"/>
        <v>0</v>
      </c>
      <c r="EM45" s="204">
        <f t="shared" si="12"/>
        <v>0</v>
      </c>
      <c r="EN45" s="204">
        <f t="shared" si="13"/>
        <v>0</v>
      </c>
      <c r="EO45" s="204">
        <f t="shared" si="14"/>
        <v>0</v>
      </c>
      <c r="EP45" s="204"/>
      <c r="EQ45" s="55"/>
      <c r="ER45" s="55"/>
      <c r="ES45" s="18"/>
      <c r="ET45" s="18"/>
      <c r="EU45" s="18"/>
      <c r="EV45" s="18"/>
      <c r="EW45" s="18"/>
      <c r="EX45" s="18"/>
      <c r="EY45" s="331" t="e">
        <f t="shared" si="15"/>
        <v>#DIV/0!</v>
      </c>
      <c r="EZ45" s="332"/>
      <c r="FA45" s="336"/>
      <c r="FB45" s="336">
        <f t="shared" si="16"/>
        <v>0</v>
      </c>
      <c r="FC45" s="337" t="e">
        <f t="shared" si="25"/>
        <v>#DIV/0!</v>
      </c>
      <c r="FD45" s="338" t="s">
        <v>72</v>
      </c>
      <c r="FE45" s="47" t="s">
        <v>248</v>
      </c>
      <c r="FF45" s="47"/>
      <c r="FG45" s="47" t="s">
        <v>138</v>
      </c>
      <c r="FH45" s="47" t="s">
        <v>148</v>
      </c>
      <c r="FI45" s="25"/>
      <c r="FJ45" s="47"/>
    </row>
    <row r="46" spans="1:166" ht="135.75" hidden="1" customHeight="1">
      <c r="A46" s="15">
        <v>4</v>
      </c>
      <c r="B46" s="5" t="s">
        <v>247</v>
      </c>
      <c r="C46" s="56" t="s">
        <v>1108</v>
      </c>
      <c r="D46" s="17"/>
      <c r="E46" s="17"/>
      <c r="F46" s="47">
        <v>121586</v>
      </c>
      <c r="G46" s="18" t="s">
        <v>246</v>
      </c>
      <c r="H46" s="19">
        <v>8000000</v>
      </c>
      <c r="I46" s="19">
        <v>1498853.62</v>
      </c>
      <c r="J46" s="18" t="s">
        <v>132</v>
      </c>
      <c r="K46" s="18" t="s">
        <v>1223</v>
      </c>
      <c r="L46" s="18" t="s">
        <v>183</v>
      </c>
      <c r="M46" s="47" t="s">
        <v>184</v>
      </c>
      <c r="N46" s="18" t="s">
        <v>1044</v>
      </c>
      <c r="O46" s="47">
        <v>7222152219</v>
      </c>
      <c r="P46" s="207" t="s">
        <v>1067</v>
      </c>
      <c r="Q46" s="21"/>
      <c r="R46" s="22"/>
      <c r="S46" s="22"/>
      <c r="T46" s="22"/>
      <c r="U46" s="22"/>
      <c r="V46" s="48"/>
      <c r="W46" s="48">
        <v>44865</v>
      </c>
      <c r="X46" s="23">
        <v>1292115.19</v>
      </c>
      <c r="Y46" s="23">
        <f t="shared" si="4"/>
        <v>1498853.6203999999</v>
      </c>
      <c r="Z46" s="23">
        <v>1498853.62</v>
      </c>
      <c r="AA46" s="204">
        <f t="shared" si="9"/>
        <v>6501146.3799999999</v>
      </c>
      <c r="AB46" s="204">
        <v>0</v>
      </c>
      <c r="AC46" s="204">
        <v>0</v>
      </c>
      <c r="AD46" s="204">
        <v>1415392.99</v>
      </c>
      <c r="AE46" s="204">
        <v>0</v>
      </c>
      <c r="AF46" s="50">
        <f t="shared" si="5"/>
        <v>1415392.99</v>
      </c>
      <c r="AG46" s="253">
        <v>44903</v>
      </c>
      <c r="AH46" s="204">
        <v>2.0099999999999998</v>
      </c>
      <c r="AI46" s="204">
        <v>0</v>
      </c>
      <c r="AJ46" s="204">
        <f t="shared" si="6"/>
        <v>2.0099999999999998</v>
      </c>
      <c r="AK46" s="253" t="s">
        <v>305</v>
      </c>
      <c r="AL46" s="50"/>
      <c r="AM46" s="254"/>
      <c r="AN46" s="204">
        <f t="shared" si="26"/>
        <v>0</v>
      </c>
      <c r="AO46" s="253"/>
      <c r="AP46" s="204"/>
      <c r="AQ46" s="204"/>
      <c r="AR46" s="204"/>
      <c r="AS46" s="253"/>
      <c r="AT46" s="204"/>
      <c r="AU46" s="204"/>
      <c r="AV46" s="204"/>
      <c r="AW46" s="249"/>
      <c r="AX46" s="204"/>
      <c r="AY46" s="204"/>
      <c r="AZ46" s="204"/>
      <c r="BA46" s="204"/>
      <c r="BB46" s="204"/>
      <c r="BC46" s="204"/>
      <c r="BD46" s="204"/>
      <c r="BE46" s="204"/>
      <c r="BF46" s="204"/>
      <c r="BG46" s="204"/>
      <c r="BH46" s="204"/>
      <c r="BI46" s="204"/>
      <c r="BJ46" s="204"/>
      <c r="BK46" s="204"/>
      <c r="BL46" s="204"/>
      <c r="BM46" s="204"/>
      <c r="BN46" s="204"/>
      <c r="BO46" s="204"/>
      <c r="BP46" s="204"/>
      <c r="BQ46" s="204"/>
      <c r="BR46" s="204"/>
      <c r="BS46" s="204"/>
      <c r="BT46" s="204"/>
      <c r="BU46" s="204"/>
      <c r="BV46" s="204"/>
      <c r="BW46" s="204"/>
      <c r="BX46" s="204"/>
      <c r="BY46" s="204"/>
      <c r="BZ46" s="204"/>
      <c r="CA46" s="204"/>
      <c r="CB46" s="204"/>
      <c r="CC46" s="204"/>
      <c r="CD46" s="204"/>
      <c r="CE46" s="204"/>
      <c r="CF46" s="204"/>
      <c r="CG46" s="204"/>
      <c r="CH46" s="204"/>
      <c r="CI46" s="204"/>
      <c r="CJ46" s="204"/>
      <c r="CK46" s="204"/>
      <c r="CL46" s="204"/>
      <c r="CM46" s="204"/>
      <c r="CN46" s="204"/>
      <c r="CO46" s="204"/>
      <c r="CP46" s="204"/>
      <c r="CQ46" s="204"/>
      <c r="CR46" s="204"/>
      <c r="CS46" s="204"/>
      <c r="CT46" s="204"/>
      <c r="CU46" s="204"/>
      <c r="CV46" s="204"/>
      <c r="CW46" s="204"/>
      <c r="CX46" s="204"/>
      <c r="CY46" s="204"/>
      <c r="CZ46" s="204"/>
      <c r="DA46" s="204"/>
      <c r="DB46" s="204"/>
      <c r="DC46" s="204"/>
      <c r="DD46" s="204"/>
      <c r="DE46" s="204"/>
      <c r="DF46" s="204"/>
      <c r="DG46" s="204"/>
      <c r="DH46" s="204"/>
      <c r="DI46" s="204"/>
      <c r="DJ46" s="204"/>
      <c r="DK46" s="204"/>
      <c r="DL46" s="204"/>
      <c r="DM46" s="204"/>
      <c r="DN46" s="204"/>
      <c r="DO46" s="204"/>
      <c r="DP46" s="204"/>
      <c r="DQ46" s="204"/>
      <c r="DR46" s="204"/>
      <c r="DS46" s="204"/>
      <c r="DT46" s="204"/>
      <c r="DU46" s="204"/>
      <c r="DV46" s="204"/>
      <c r="DW46" s="204"/>
      <c r="DX46" s="204"/>
      <c r="DY46" s="204"/>
      <c r="DZ46" s="204"/>
      <c r="EA46" s="204"/>
      <c r="EB46" s="204"/>
      <c r="EC46" s="204"/>
      <c r="ED46" s="204"/>
      <c r="EE46" s="204"/>
      <c r="EF46" s="204"/>
      <c r="EG46" s="204"/>
      <c r="EH46" s="250">
        <f t="shared" si="23"/>
        <v>1415395</v>
      </c>
      <c r="EI46" s="250">
        <f t="shared" si="18"/>
        <v>0</v>
      </c>
      <c r="EJ46" s="250">
        <f t="shared" si="18"/>
        <v>1415395</v>
      </c>
      <c r="EK46" s="204">
        <f t="shared" si="10"/>
        <v>1415395</v>
      </c>
      <c r="EL46" s="204">
        <f t="shared" si="24"/>
        <v>0</v>
      </c>
      <c r="EM46" s="204">
        <f t="shared" si="12"/>
        <v>83458.620000000112</v>
      </c>
      <c r="EN46" s="204">
        <f t="shared" si="13"/>
        <v>0</v>
      </c>
      <c r="EO46" s="204">
        <f t="shared" si="14"/>
        <v>6584605</v>
      </c>
      <c r="EP46" s="204"/>
      <c r="EQ46" s="55">
        <v>44866</v>
      </c>
      <c r="ER46" s="55">
        <v>44924</v>
      </c>
      <c r="ES46" s="18"/>
      <c r="ET46" s="18"/>
      <c r="EU46" s="18"/>
      <c r="EV46" s="18"/>
      <c r="EW46" s="18"/>
      <c r="EX46" s="18"/>
      <c r="EY46" s="331">
        <f t="shared" si="15"/>
        <v>0.94431836512494116</v>
      </c>
      <c r="EZ46" s="332">
        <v>0.94</v>
      </c>
      <c r="FA46" s="336"/>
      <c r="FB46" s="336">
        <f t="shared" si="16"/>
        <v>-0.94</v>
      </c>
      <c r="FC46" s="337">
        <f t="shared" si="25"/>
        <v>0.94431836512494116</v>
      </c>
      <c r="FD46" s="338" t="s">
        <v>1410</v>
      </c>
      <c r="FE46" s="47" t="s">
        <v>248</v>
      </c>
      <c r="FF46" s="47"/>
      <c r="FG46" s="47" t="s">
        <v>161</v>
      </c>
      <c r="FH46" s="307"/>
      <c r="FI46" s="25">
        <v>3500</v>
      </c>
      <c r="FJ46" s="51" t="s">
        <v>1210</v>
      </c>
    </row>
    <row r="47" spans="1:166" ht="249.75" customHeight="1">
      <c r="A47" s="15"/>
      <c r="B47" s="5" t="s">
        <v>247</v>
      </c>
      <c r="C47" s="56" t="s">
        <v>1078</v>
      </c>
      <c r="D47" s="17"/>
      <c r="E47" s="17"/>
      <c r="F47" s="47">
        <v>121587</v>
      </c>
      <c r="G47" s="18" t="s">
        <v>1042</v>
      </c>
      <c r="H47" s="19">
        <v>11000000</v>
      </c>
      <c r="I47" s="19">
        <v>10350330.029999999</v>
      </c>
      <c r="J47" s="18" t="s">
        <v>132</v>
      </c>
      <c r="K47" s="18" t="s">
        <v>198</v>
      </c>
      <c r="L47" s="18" t="s">
        <v>199</v>
      </c>
      <c r="M47" s="47" t="s">
        <v>200</v>
      </c>
      <c r="N47" s="18" t="s">
        <v>775</v>
      </c>
      <c r="O47" s="47">
        <v>7222192339</v>
      </c>
      <c r="P47" s="20" t="s">
        <v>989</v>
      </c>
      <c r="Q47" s="21"/>
      <c r="R47" s="22"/>
      <c r="S47" s="22"/>
      <c r="T47" s="22"/>
      <c r="U47" s="22"/>
      <c r="V47" s="48">
        <v>44799</v>
      </c>
      <c r="W47" s="48">
        <v>44803</v>
      </c>
      <c r="X47" s="23">
        <f>8922698.3</f>
        <v>8922698.3000000007</v>
      </c>
      <c r="Y47" s="23">
        <f t="shared" si="4"/>
        <v>10350330.028000001</v>
      </c>
      <c r="Z47" s="213">
        <v>14398692.130000001</v>
      </c>
      <c r="AA47" s="204">
        <f t="shared" si="9"/>
        <v>-3398692.1300000008</v>
      </c>
      <c r="AB47" s="204">
        <v>3105099.01</v>
      </c>
      <c r="AC47" s="204">
        <v>3105099.01</v>
      </c>
      <c r="AD47" s="204">
        <v>4566955.5999999996</v>
      </c>
      <c r="AE47" s="204">
        <v>1370086.68</v>
      </c>
      <c r="AF47" s="50">
        <f t="shared" si="5"/>
        <v>3196868.92</v>
      </c>
      <c r="AG47" s="253">
        <v>44902</v>
      </c>
      <c r="AH47" s="204">
        <v>134200.68</v>
      </c>
      <c r="AI47" s="204">
        <v>40260.199999999997</v>
      </c>
      <c r="AJ47" s="204">
        <f t="shared" si="6"/>
        <v>93940.479999999996</v>
      </c>
      <c r="AK47" s="253"/>
      <c r="AL47" s="50">
        <v>4354912.8</v>
      </c>
      <c r="AM47" s="50">
        <v>1694752.13</v>
      </c>
      <c r="AN47" s="204">
        <f t="shared" si="26"/>
        <v>2660160.67</v>
      </c>
      <c r="AO47" s="253"/>
      <c r="AP47" s="204"/>
      <c r="AQ47" s="204"/>
      <c r="AR47" s="204"/>
      <c r="AS47" s="253"/>
      <c r="AT47" s="204"/>
      <c r="AU47" s="204"/>
      <c r="AV47" s="204"/>
      <c r="AW47" s="249"/>
      <c r="AX47" s="204"/>
      <c r="AY47" s="204"/>
      <c r="AZ47" s="204"/>
      <c r="BA47" s="204"/>
      <c r="BB47" s="204"/>
      <c r="BC47" s="204"/>
      <c r="BD47" s="204"/>
      <c r="BE47" s="204"/>
      <c r="BF47" s="204"/>
      <c r="BG47" s="204"/>
      <c r="BH47" s="204"/>
      <c r="BI47" s="204"/>
      <c r="BJ47" s="204"/>
      <c r="BK47" s="204"/>
      <c r="BL47" s="204"/>
      <c r="BM47" s="204"/>
      <c r="BN47" s="204"/>
      <c r="BO47" s="204"/>
      <c r="BP47" s="204"/>
      <c r="BQ47" s="204"/>
      <c r="BR47" s="204"/>
      <c r="BS47" s="204"/>
      <c r="BT47" s="204"/>
      <c r="BU47" s="204"/>
      <c r="BV47" s="204"/>
      <c r="BW47" s="204"/>
      <c r="BX47" s="204"/>
      <c r="BY47" s="204"/>
      <c r="BZ47" s="204"/>
      <c r="CA47" s="204"/>
      <c r="CB47" s="204"/>
      <c r="CC47" s="204"/>
      <c r="CD47" s="204"/>
      <c r="CE47" s="204"/>
      <c r="CF47" s="204"/>
      <c r="CG47" s="204"/>
      <c r="CH47" s="204"/>
      <c r="CI47" s="204"/>
      <c r="CJ47" s="204"/>
      <c r="CK47" s="204"/>
      <c r="CL47" s="204"/>
      <c r="CM47" s="204"/>
      <c r="CN47" s="204"/>
      <c r="CO47" s="204"/>
      <c r="CP47" s="204"/>
      <c r="CQ47" s="204"/>
      <c r="CR47" s="204"/>
      <c r="CS47" s="204"/>
      <c r="CT47" s="204"/>
      <c r="CU47" s="204"/>
      <c r="CV47" s="204"/>
      <c r="CW47" s="204"/>
      <c r="CX47" s="204"/>
      <c r="CY47" s="204"/>
      <c r="CZ47" s="204"/>
      <c r="DA47" s="204"/>
      <c r="DB47" s="204"/>
      <c r="DC47" s="204"/>
      <c r="DD47" s="204"/>
      <c r="DE47" s="204"/>
      <c r="DF47" s="204"/>
      <c r="DG47" s="204"/>
      <c r="DH47" s="204"/>
      <c r="DI47" s="204"/>
      <c r="DJ47" s="204"/>
      <c r="DK47" s="204"/>
      <c r="DL47" s="204"/>
      <c r="DM47" s="204"/>
      <c r="DN47" s="204"/>
      <c r="DO47" s="204"/>
      <c r="DP47" s="204"/>
      <c r="DQ47" s="204"/>
      <c r="DR47" s="204"/>
      <c r="DS47" s="204"/>
      <c r="DT47" s="204"/>
      <c r="DU47" s="204"/>
      <c r="DV47" s="204"/>
      <c r="DW47" s="204"/>
      <c r="DX47" s="204"/>
      <c r="DY47" s="204"/>
      <c r="DZ47" s="204"/>
      <c r="EA47" s="204"/>
      <c r="EB47" s="204"/>
      <c r="EC47" s="204"/>
      <c r="ED47" s="204"/>
      <c r="EE47" s="204"/>
      <c r="EF47" s="204"/>
      <c r="EG47" s="204"/>
      <c r="EH47" s="250">
        <f t="shared" si="23"/>
        <v>9056069.0799999982</v>
      </c>
      <c r="EI47" s="250">
        <f t="shared" si="18"/>
        <v>3105099.01</v>
      </c>
      <c r="EJ47" s="250">
        <f t="shared" si="18"/>
        <v>5950970.0700000003</v>
      </c>
      <c r="EK47" s="204">
        <f t="shared" si="10"/>
        <v>9056069.0799999982</v>
      </c>
      <c r="EL47" s="204">
        <f t="shared" si="24"/>
        <v>0</v>
      </c>
      <c r="EM47" s="204">
        <f t="shared" si="12"/>
        <v>5342623.0500000026</v>
      </c>
      <c r="EN47" s="204">
        <f t="shared" si="13"/>
        <v>3105099.0099999979</v>
      </c>
      <c r="EO47" s="204">
        <f t="shared" si="14"/>
        <v>1943930.9200000018</v>
      </c>
      <c r="EP47" s="204"/>
      <c r="EQ47" s="55">
        <v>44804</v>
      </c>
      <c r="ER47" s="55">
        <v>44910</v>
      </c>
      <c r="ES47" s="318" t="s">
        <v>1430</v>
      </c>
      <c r="ET47" s="47" t="s">
        <v>1316</v>
      </c>
      <c r="EU47" s="47" t="s">
        <v>1315</v>
      </c>
      <c r="EV47" s="18"/>
      <c r="EW47" s="18"/>
      <c r="EX47" s="18"/>
      <c r="EY47" s="331">
        <f t="shared" si="15"/>
        <v>0.62895081013166976</v>
      </c>
      <c r="EZ47" s="332">
        <v>1</v>
      </c>
      <c r="FA47" s="336"/>
      <c r="FB47" s="336">
        <f t="shared" si="16"/>
        <v>-1</v>
      </c>
      <c r="FC47" s="337">
        <f t="shared" si="25"/>
        <v>0.62895081013166976</v>
      </c>
      <c r="FD47" s="338" t="s">
        <v>147</v>
      </c>
      <c r="FE47" s="47" t="s">
        <v>1043</v>
      </c>
      <c r="FF47" s="47"/>
      <c r="FG47" s="47" t="s">
        <v>138</v>
      </c>
      <c r="FH47" s="47" t="s">
        <v>148</v>
      </c>
      <c r="FI47" s="25">
        <v>10000</v>
      </c>
      <c r="FJ47" s="51" t="s">
        <v>1321</v>
      </c>
    </row>
    <row r="48" spans="1:166" ht="135.75" hidden="1" customHeight="1">
      <c r="A48" s="15"/>
      <c r="B48" s="5" t="s">
        <v>979</v>
      </c>
      <c r="C48" s="56" t="s">
        <v>1070</v>
      </c>
      <c r="D48" s="17"/>
      <c r="E48" s="17"/>
      <c r="F48" s="47">
        <v>121851</v>
      </c>
      <c r="G48" s="18" t="s">
        <v>978</v>
      </c>
      <c r="H48" s="19">
        <v>10000000</v>
      </c>
      <c r="I48" s="19">
        <v>9897642.7799999993</v>
      </c>
      <c r="J48" s="18" t="s">
        <v>132</v>
      </c>
      <c r="K48" s="18" t="s">
        <v>1002</v>
      </c>
      <c r="L48" s="18" t="s">
        <v>941</v>
      </c>
      <c r="M48" s="47" t="s">
        <v>300</v>
      </c>
      <c r="N48" s="18" t="s">
        <v>942</v>
      </c>
      <c r="O48" s="47">
        <v>5552085416</v>
      </c>
      <c r="P48" s="207" t="s">
        <v>1068</v>
      </c>
      <c r="Q48" s="21"/>
      <c r="R48" s="22"/>
      <c r="S48" s="22"/>
      <c r="T48" s="22"/>
      <c r="U48" s="22"/>
      <c r="V48" s="48"/>
      <c r="W48" s="48">
        <v>44844</v>
      </c>
      <c r="X48" s="23">
        <v>8532450.6699999999</v>
      </c>
      <c r="Y48" s="23">
        <f t="shared" si="4"/>
        <v>9897642.7771999985</v>
      </c>
      <c r="Z48" s="23">
        <v>9897642.7799999993</v>
      </c>
      <c r="AA48" s="204">
        <f t="shared" si="9"/>
        <v>102357.22000000067</v>
      </c>
      <c r="AB48" s="204">
        <v>2969292.83</v>
      </c>
      <c r="AC48" s="204">
        <v>2969292.83</v>
      </c>
      <c r="AD48" s="204">
        <v>5604905.96</v>
      </c>
      <c r="AE48" s="204">
        <v>1681471.79</v>
      </c>
      <c r="AF48" s="50">
        <f>AD48-AE48</f>
        <v>3923434.17</v>
      </c>
      <c r="AG48" s="253">
        <v>44887</v>
      </c>
      <c r="AH48" s="204">
        <v>906466.2</v>
      </c>
      <c r="AI48" s="204">
        <v>271939.86</v>
      </c>
      <c r="AJ48" s="204">
        <f>AH48-AI48</f>
        <v>634526.34</v>
      </c>
      <c r="AK48" s="253">
        <v>44894</v>
      </c>
      <c r="AL48" s="50">
        <v>3386270.62</v>
      </c>
      <c r="AM48" s="50">
        <v>1015881.18</v>
      </c>
      <c r="AN48" s="204">
        <f t="shared" si="26"/>
        <v>2370389.44</v>
      </c>
      <c r="AO48" s="253">
        <v>44902</v>
      </c>
      <c r="AP48" s="204">
        <v>0</v>
      </c>
      <c r="AQ48" s="204">
        <v>0</v>
      </c>
      <c r="AR48" s="204">
        <v>0</v>
      </c>
      <c r="AS48" s="312" t="s">
        <v>1272</v>
      </c>
      <c r="AT48" s="204"/>
      <c r="AU48" s="204"/>
      <c r="AV48" s="204"/>
      <c r="AW48" s="249"/>
      <c r="AX48" s="204"/>
      <c r="AY48" s="204"/>
      <c r="AZ48" s="204"/>
      <c r="BA48" s="204"/>
      <c r="BB48" s="204"/>
      <c r="BC48" s="204"/>
      <c r="BD48" s="204"/>
      <c r="BE48" s="204"/>
      <c r="BF48" s="204"/>
      <c r="BG48" s="204"/>
      <c r="BH48" s="204"/>
      <c r="BI48" s="204"/>
      <c r="BJ48" s="204"/>
      <c r="BK48" s="204"/>
      <c r="BL48" s="204"/>
      <c r="BM48" s="204"/>
      <c r="BN48" s="204"/>
      <c r="BO48" s="204"/>
      <c r="BP48" s="204"/>
      <c r="BQ48" s="204"/>
      <c r="BR48" s="204"/>
      <c r="BS48" s="204"/>
      <c r="BT48" s="204"/>
      <c r="BU48" s="204"/>
      <c r="BV48" s="204"/>
      <c r="BW48" s="204"/>
      <c r="BX48" s="204"/>
      <c r="BY48" s="204"/>
      <c r="BZ48" s="204"/>
      <c r="CA48" s="204"/>
      <c r="CB48" s="204"/>
      <c r="CC48" s="204"/>
      <c r="CD48" s="204"/>
      <c r="CE48" s="204"/>
      <c r="CF48" s="204"/>
      <c r="CG48" s="204"/>
      <c r="CH48" s="204"/>
      <c r="CI48" s="204"/>
      <c r="CJ48" s="204"/>
      <c r="CK48" s="204"/>
      <c r="CL48" s="204"/>
      <c r="CM48" s="204"/>
      <c r="CN48" s="204"/>
      <c r="CO48" s="204"/>
      <c r="CP48" s="204"/>
      <c r="CQ48" s="204"/>
      <c r="CR48" s="204"/>
      <c r="CS48" s="204"/>
      <c r="CT48" s="204"/>
      <c r="CU48" s="204"/>
      <c r="CV48" s="204"/>
      <c r="CW48" s="204"/>
      <c r="CX48" s="204"/>
      <c r="CY48" s="204"/>
      <c r="CZ48" s="204"/>
      <c r="DA48" s="204"/>
      <c r="DB48" s="204"/>
      <c r="DC48" s="204"/>
      <c r="DD48" s="204"/>
      <c r="DE48" s="204"/>
      <c r="DF48" s="204"/>
      <c r="DG48" s="204"/>
      <c r="DH48" s="204"/>
      <c r="DI48" s="204"/>
      <c r="DJ48" s="204"/>
      <c r="DK48" s="204"/>
      <c r="DL48" s="204"/>
      <c r="DM48" s="204"/>
      <c r="DN48" s="204"/>
      <c r="DO48" s="204"/>
      <c r="DP48" s="204"/>
      <c r="DQ48" s="204"/>
      <c r="DR48" s="204"/>
      <c r="DS48" s="204"/>
      <c r="DT48" s="204"/>
      <c r="DU48" s="204"/>
      <c r="DV48" s="204"/>
      <c r="DW48" s="204"/>
      <c r="DX48" s="204"/>
      <c r="DY48" s="204"/>
      <c r="DZ48" s="204"/>
      <c r="EA48" s="204"/>
      <c r="EB48" s="204"/>
      <c r="EC48" s="204"/>
      <c r="ED48" s="204"/>
      <c r="EE48" s="204"/>
      <c r="EF48" s="204"/>
      <c r="EG48" s="204"/>
      <c r="EH48" s="250">
        <f t="shared" si="23"/>
        <v>9897642.7800000012</v>
      </c>
      <c r="EI48" s="250">
        <f>AE48+AI48+AM48+AQ48+AU48+AY48+BC48+BG48+BK48+BO48+BS48+BW48+CA48+CE48+CI48+CM48+CQ48+CU48+CY48+DB48+DE48+DH48+DK48+DN48+DQ48+DT48+DW48+DZ48+EC48+EF48</f>
        <v>2969292.83</v>
      </c>
      <c r="EJ48" s="250">
        <f>AF48+AJ48+AN48+AR48+AV48+AZ48+BD48+BH48+BL48+BP48+BT48+BX48+CB48+CF48+CJ48+CN48+CR48+CV48+CZ48+DC48+DF48+DI48+DL48+DO48+DR48+DU48+DX48+EA48+ED48+EG48</f>
        <v>6928349.9499999993</v>
      </c>
      <c r="EK48" s="204">
        <f>EH48+AC48-EI48</f>
        <v>9897642.7800000012</v>
      </c>
      <c r="EL48" s="204">
        <f>AC48-EI48</f>
        <v>0</v>
      </c>
      <c r="EM48" s="204">
        <f>Z48-EH48</f>
        <v>0</v>
      </c>
      <c r="EN48" s="204">
        <f>EH48-EJ48</f>
        <v>2969292.8300000019</v>
      </c>
      <c r="EO48" s="204">
        <f>+AA48+EM48</f>
        <v>102357.22000000067</v>
      </c>
      <c r="EP48" s="204"/>
      <c r="EQ48" s="55">
        <v>44845</v>
      </c>
      <c r="ER48" s="55">
        <v>44894</v>
      </c>
      <c r="ES48" s="18"/>
      <c r="ET48" s="18"/>
      <c r="EU48" s="18"/>
      <c r="EV48" s="18"/>
      <c r="EW48" s="18"/>
      <c r="EX48" s="54" t="s">
        <v>1349</v>
      </c>
      <c r="EY48" s="331">
        <f t="shared" si="15"/>
        <v>1.0000000000000002</v>
      </c>
      <c r="EZ48" s="332">
        <v>1</v>
      </c>
      <c r="FA48" s="336"/>
      <c r="FB48" s="336">
        <f t="shared" si="16"/>
        <v>-1</v>
      </c>
      <c r="FC48" s="337">
        <f t="shared" si="25"/>
        <v>1.0000000000000002</v>
      </c>
      <c r="FD48" s="338" t="s">
        <v>147</v>
      </c>
      <c r="FE48" s="47" t="s">
        <v>235</v>
      </c>
      <c r="FF48" s="47"/>
      <c r="FG48" s="47" t="s">
        <v>177</v>
      </c>
      <c r="FH48" s="47" t="s">
        <v>146</v>
      </c>
      <c r="FI48" s="25">
        <v>90</v>
      </c>
      <c r="FJ48" s="51" t="s">
        <v>1273</v>
      </c>
    </row>
    <row r="49" spans="1:166" ht="135.75" hidden="1" customHeight="1">
      <c r="A49" s="15"/>
      <c r="B49" s="5" t="s">
        <v>289</v>
      </c>
      <c r="C49" s="56" t="s">
        <v>892</v>
      </c>
      <c r="D49" s="125" t="s">
        <v>1111</v>
      </c>
      <c r="E49" s="125"/>
      <c r="F49" s="47">
        <v>121604</v>
      </c>
      <c r="G49" s="18" t="s">
        <v>252</v>
      </c>
      <c r="H49" s="19">
        <f>14000000-290476.79</f>
        <v>13709523.210000001</v>
      </c>
      <c r="I49" s="19">
        <v>13709523.210000001</v>
      </c>
      <c r="J49" s="18" t="s">
        <v>253</v>
      </c>
      <c r="K49" s="18" t="s">
        <v>716</v>
      </c>
      <c r="L49" s="18" t="s">
        <v>189</v>
      </c>
      <c r="M49" s="47" t="s">
        <v>190</v>
      </c>
      <c r="N49" s="18" t="s">
        <v>725</v>
      </c>
      <c r="O49" s="47" t="s">
        <v>726</v>
      </c>
      <c r="P49" s="207" t="s">
        <v>754</v>
      </c>
      <c r="Q49" s="21"/>
      <c r="R49" s="22"/>
      <c r="S49" s="22"/>
      <c r="T49" s="22"/>
      <c r="U49" s="22"/>
      <c r="V49" s="48">
        <v>44746</v>
      </c>
      <c r="W49" s="48">
        <v>44748</v>
      </c>
      <c r="X49" s="23">
        <v>11818554.49</v>
      </c>
      <c r="Y49" s="23">
        <f t="shared" si="4"/>
        <v>13709523.2084</v>
      </c>
      <c r="Z49" s="23">
        <v>13709523.210000001</v>
      </c>
      <c r="AA49" s="204">
        <f t="shared" si="9"/>
        <v>0</v>
      </c>
      <c r="AB49" s="204">
        <v>4112856.96</v>
      </c>
      <c r="AC49" s="204">
        <v>4112856.96</v>
      </c>
      <c r="AD49" s="204">
        <v>2598049.0699999998</v>
      </c>
      <c r="AE49" s="204">
        <v>779414.72</v>
      </c>
      <c r="AF49" s="50">
        <f t="shared" si="5"/>
        <v>1818634.3499999999</v>
      </c>
      <c r="AG49" s="253">
        <v>44830</v>
      </c>
      <c r="AH49" s="50">
        <v>2414058.23</v>
      </c>
      <c r="AI49" s="50">
        <v>724217.47</v>
      </c>
      <c r="AJ49" s="204">
        <f t="shared" si="6"/>
        <v>1689840.76</v>
      </c>
      <c r="AK49" s="253">
        <v>44889</v>
      </c>
      <c r="AL49" s="50">
        <v>2569857.61</v>
      </c>
      <c r="AM49" s="50">
        <v>770957.28</v>
      </c>
      <c r="AN49" s="204">
        <f t="shared" si="26"/>
        <v>1798900.3299999998</v>
      </c>
      <c r="AO49" s="253">
        <v>44907</v>
      </c>
      <c r="AP49" s="204">
        <v>2475494.61</v>
      </c>
      <c r="AQ49" s="204">
        <v>742647.48</v>
      </c>
      <c r="AR49" s="204">
        <f>AP49-AQ49</f>
        <v>1732847.13</v>
      </c>
      <c r="AS49" s="253">
        <v>44916</v>
      </c>
      <c r="AT49" s="204">
        <v>3071511.32</v>
      </c>
      <c r="AU49" s="204">
        <v>1095620.01</v>
      </c>
      <c r="AV49" s="204">
        <f>AT49-AU49</f>
        <v>1975891.3099999998</v>
      </c>
      <c r="AW49" s="249">
        <v>44916</v>
      </c>
      <c r="AX49" s="204">
        <v>9524.9599999999991</v>
      </c>
      <c r="AY49" s="204">
        <v>0</v>
      </c>
      <c r="AZ49" s="204">
        <f>AX49-AY49</f>
        <v>9524.9599999999991</v>
      </c>
      <c r="BA49" s="204" t="s">
        <v>305</v>
      </c>
      <c r="BB49" s="204"/>
      <c r="BC49" s="204"/>
      <c r="BD49" s="204"/>
      <c r="BE49" s="204"/>
      <c r="BF49" s="204"/>
      <c r="BG49" s="204"/>
      <c r="BH49" s="204"/>
      <c r="BI49" s="204"/>
      <c r="BJ49" s="204"/>
      <c r="BK49" s="204"/>
      <c r="BL49" s="204"/>
      <c r="BM49" s="204"/>
      <c r="BN49" s="204"/>
      <c r="BO49" s="204"/>
      <c r="BP49" s="204"/>
      <c r="BQ49" s="204"/>
      <c r="BR49" s="204"/>
      <c r="BS49" s="204"/>
      <c r="BT49" s="204"/>
      <c r="BU49" s="204"/>
      <c r="BV49" s="204"/>
      <c r="BW49" s="204"/>
      <c r="BX49" s="204"/>
      <c r="BY49" s="204"/>
      <c r="BZ49" s="204"/>
      <c r="CA49" s="204"/>
      <c r="CB49" s="204"/>
      <c r="CC49" s="204"/>
      <c r="CD49" s="204"/>
      <c r="CE49" s="204"/>
      <c r="CF49" s="204"/>
      <c r="CG49" s="204"/>
      <c r="CH49" s="204"/>
      <c r="CI49" s="204"/>
      <c r="CJ49" s="204"/>
      <c r="CK49" s="204"/>
      <c r="CL49" s="204"/>
      <c r="CM49" s="204"/>
      <c r="CN49" s="204"/>
      <c r="CO49" s="204"/>
      <c r="CP49" s="204"/>
      <c r="CQ49" s="204"/>
      <c r="CR49" s="204"/>
      <c r="CS49" s="204"/>
      <c r="CT49" s="204"/>
      <c r="CU49" s="204"/>
      <c r="CV49" s="204"/>
      <c r="CW49" s="204"/>
      <c r="CX49" s="204"/>
      <c r="CY49" s="204"/>
      <c r="CZ49" s="204"/>
      <c r="DA49" s="204"/>
      <c r="DB49" s="204"/>
      <c r="DC49" s="204"/>
      <c r="DD49" s="204"/>
      <c r="DE49" s="204"/>
      <c r="DF49" s="204"/>
      <c r="DG49" s="204"/>
      <c r="DH49" s="204"/>
      <c r="DI49" s="204"/>
      <c r="DJ49" s="204"/>
      <c r="DK49" s="204"/>
      <c r="DL49" s="204"/>
      <c r="DM49" s="204"/>
      <c r="DN49" s="204"/>
      <c r="DO49" s="204"/>
      <c r="DP49" s="204"/>
      <c r="DQ49" s="204"/>
      <c r="DR49" s="204"/>
      <c r="DS49" s="204"/>
      <c r="DT49" s="204"/>
      <c r="DU49" s="204"/>
      <c r="DV49" s="204"/>
      <c r="DW49" s="204"/>
      <c r="DX49" s="204"/>
      <c r="DY49" s="204"/>
      <c r="DZ49" s="204"/>
      <c r="EA49" s="204"/>
      <c r="EB49" s="204"/>
      <c r="EC49" s="204"/>
      <c r="ED49" s="204"/>
      <c r="EE49" s="204"/>
      <c r="EF49" s="204"/>
      <c r="EG49" s="204"/>
      <c r="EH49" s="250">
        <f t="shared" si="23"/>
        <v>13138495.800000001</v>
      </c>
      <c r="EI49" s="250">
        <f t="shared" si="18"/>
        <v>4112856.96</v>
      </c>
      <c r="EJ49" s="250">
        <f t="shared" si="18"/>
        <v>9025638.8399999999</v>
      </c>
      <c r="EK49" s="204">
        <f t="shared" si="10"/>
        <v>13138495.800000001</v>
      </c>
      <c r="EL49" s="204">
        <f t="shared" si="24"/>
        <v>0</v>
      </c>
      <c r="EM49" s="204">
        <f t="shared" si="12"/>
        <v>571027.41000000015</v>
      </c>
      <c r="EN49" s="204">
        <f t="shared" si="13"/>
        <v>4112856.9600000009</v>
      </c>
      <c r="EO49" s="204">
        <f t="shared" si="14"/>
        <v>571027.41000000015</v>
      </c>
      <c r="EP49" s="204"/>
      <c r="EQ49" s="55">
        <v>44749</v>
      </c>
      <c r="ER49" s="55">
        <v>44910</v>
      </c>
      <c r="ES49" s="18"/>
      <c r="ET49" s="18"/>
      <c r="EU49" s="18"/>
      <c r="EV49" s="18"/>
      <c r="EW49" s="18"/>
      <c r="EX49" s="18"/>
      <c r="EY49" s="331">
        <f t="shared" si="15"/>
        <v>0.95834812040848505</v>
      </c>
      <c r="EZ49" s="332">
        <v>1</v>
      </c>
      <c r="FA49" s="336"/>
      <c r="FB49" s="336">
        <f t="shared" si="16"/>
        <v>-1</v>
      </c>
      <c r="FC49" s="337">
        <f t="shared" si="25"/>
        <v>0.95834812040848505</v>
      </c>
      <c r="FD49" s="338" t="s">
        <v>147</v>
      </c>
      <c r="FE49" s="47" t="s">
        <v>250</v>
      </c>
      <c r="FF49" s="47"/>
      <c r="FG49" s="47" t="s">
        <v>154</v>
      </c>
      <c r="FH49" s="47" t="s">
        <v>146</v>
      </c>
      <c r="FI49" s="25">
        <v>400</v>
      </c>
      <c r="FJ49" s="199" t="s">
        <v>1276</v>
      </c>
    </row>
    <row r="50" spans="1:166" ht="211.5" hidden="1" customHeight="1">
      <c r="A50" s="15"/>
      <c r="B50" s="5" t="s">
        <v>289</v>
      </c>
      <c r="C50" s="56" t="s">
        <v>956</v>
      </c>
      <c r="D50" s="125" t="s">
        <v>1111</v>
      </c>
      <c r="E50" s="125"/>
      <c r="F50" s="47">
        <v>121605</v>
      </c>
      <c r="G50" s="18" t="s">
        <v>251</v>
      </c>
      <c r="H50" s="19">
        <f>10000000-1713078.06</f>
        <v>8286921.9399999995</v>
      </c>
      <c r="I50" s="19">
        <v>8286921.9400000004</v>
      </c>
      <c r="J50" s="18" t="s">
        <v>253</v>
      </c>
      <c r="K50" s="18" t="s">
        <v>708</v>
      </c>
      <c r="L50" s="18" t="s">
        <v>710</v>
      </c>
      <c r="M50" s="47" t="s">
        <v>158</v>
      </c>
      <c r="N50" s="18" t="s">
        <v>709</v>
      </c>
      <c r="O50" s="47">
        <v>7222994781</v>
      </c>
      <c r="P50" s="207" t="s">
        <v>718</v>
      </c>
      <c r="Q50" s="21"/>
      <c r="R50" s="22"/>
      <c r="S50" s="22"/>
      <c r="T50" s="22"/>
      <c r="U50" s="22"/>
      <c r="V50" s="48">
        <v>44736</v>
      </c>
      <c r="W50" s="48">
        <v>44740</v>
      </c>
      <c r="X50" s="23">
        <v>7143898.2199999997</v>
      </c>
      <c r="Y50" s="23">
        <f t="shared" si="4"/>
        <v>8286921.9351999993</v>
      </c>
      <c r="Z50" s="23">
        <v>8286921.9400000004</v>
      </c>
      <c r="AA50" s="204">
        <f t="shared" si="9"/>
        <v>0</v>
      </c>
      <c r="AB50" s="204">
        <v>2486076.58</v>
      </c>
      <c r="AC50" s="204">
        <v>2486076.58</v>
      </c>
      <c r="AD50" s="204">
        <v>1092768.74</v>
      </c>
      <c r="AE50" s="204">
        <v>327830.62</v>
      </c>
      <c r="AF50" s="50">
        <f t="shared" si="5"/>
        <v>764938.12</v>
      </c>
      <c r="AG50" s="253">
        <v>44817</v>
      </c>
      <c r="AH50" s="50">
        <v>1169998.83</v>
      </c>
      <c r="AI50" s="50">
        <v>350999.65</v>
      </c>
      <c r="AJ50" s="204">
        <f t="shared" si="6"/>
        <v>818999.18</v>
      </c>
      <c r="AK50" s="253">
        <v>44888</v>
      </c>
      <c r="AL50" s="50">
        <v>974909.95</v>
      </c>
      <c r="AM50" s="50">
        <v>389963.98</v>
      </c>
      <c r="AN50" s="204">
        <f t="shared" si="26"/>
        <v>584945.97</v>
      </c>
      <c r="AO50" s="253">
        <v>44903</v>
      </c>
      <c r="AP50" s="204">
        <v>339084.76</v>
      </c>
      <c r="AQ50" s="204">
        <v>135633.9</v>
      </c>
      <c r="AR50" s="204">
        <f>AP50-AQ50</f>
        <v>203450.86000000002</v>
      </c>
      <c r="AS50" s="253">
        <v>44993</v>
      </c>
      <c r="AT50" s="204">
        <v>907620.3</v>
      </c>
      <c r="AU50" s="204">
        <v>453810.15</v>
      </c>
      <c r="AV50" s="204">
        <f>AT50-AU50</f>
        <v>453810.15</v>
      </c>
      <c r="AW50" s="249">
        <v>44993</v>
      </c>
      <c r="AX50" s="204">
        <v>719147.49</v>
      </c>
      <c r="AY50" s="204">
        <v>287659</v>
      </c>
      <c r="AZ50" s="204">
        <f>AX50-AY50</f>
        <v>431488.49</v>
      </c>
      <c r="BA50" s="249">
        <v>44993</v>
      </c>
      <c r="BB50" s="204">
        <v>2932139.33</v>
      </c>
      <c r="BC50" s="204">
        <v>540179.28</v>
      </c>
      <c r="BD50" s="204">
        <f>BB50-BC50</f>
        <v>2391960.0499999998</v>
      </c>
      <c r="BE50" s="249">
        <v>45009</v>
      </c>
      <c r="BF50" s="204">
        <v>151121.07999999999</v>
      </c>
      <c r="BG50" s="204">
        <v>0</v>
      </c>
      <c r="BH50" s="204">
        <f>BF50-BG50</f>
        <v>151121.07999999999</v>
      </c>
      <c r="BI50" s="249">
        <v>45027</v>
      </c>
      <c r="BJ50" s="204"/>
      <c r="BK50" s="204"/>
      <c r="BL50" s="204"/>
      <c r="BM50" s="204"/>
      <c r="BN50" s="204"/>
      <c r="BO50" s="204"/>
      <c r="BP50" s="204"/>
      <c r="BQ50" s="204"/>
      <c r="BR50" s="204"/>
      <c r="BS50" s="204"/>
      <c r="BT50" s="204"/>
      <c r="BU50" s="204"/>
      <c r="BV50" s="204"/>
      <c r="BW50" s="204"/>
      <c r="BX50" s="204"/>
      <c r="BY50" s="204"/>
      <c r="BZ50" s="204"/>
      <c r="CA50" s="204"/>
      <c r="CB50" s="204"/>
      <c r="CC50" s="204"/>
      <c r="CD50" s="204"/>
      <c r="CE50" s="204"/>
      <c r="CF50" s="204"/>
      <c r="CG50" s="204"/>
      <c r="CH50" s="204"/>
      <c r="CI50" s="204"/>
      <c r="CJ50" s="204"/>
      <c r="CK50" s="204"/>
      <c r="CL50" s="204"/>
      <c r="CM50" s="204"/>
      <c r="CN50" s="204"/>
      <c r="CO50" s="204"/>
      <c r="CP50" s="204"/>
      <c r="CQ50" s="204"/>
      <c r="CR50" s="204"/>
      <c r="CS50" s="204"/>
      <c r="CT50" s="204"/>
      <c r="CU50" s="204"/>
      <c r="CV50" s="204"/>
      <c r="CW50" s="204"/>
      <c r="CX50" s="204"/>
      <c r="CY50" s="204"/>
      <c r="CZ50" s="204"/>
      <c r="DA50" s="204"/>
      <c r="DB50" s="204"/>
      <c r="DC50" s="204"/>
      <c r="DD50" s="204"/>
      <c r="DE50" s="204"/>
      <c r="DF50" s="204"/>
      <c r="DG50" s="204"/>
      <c r="DH50" s="204"/>
      <c r="DI50" s="204"/>
      <c r="DJ50" s="204"/>
      <c r="DK50" s="204"/>
      <c r="DL50" s="204"/>
      <c r="DM50" s="204"/>
      <c r="DN50" s="204"/>
      <c r="DO50" s="204"/>
      <c r="DP50" s="204"/>
      <c r="DQ50" s="204"/>
      <c r="DR50" s="204"/>
      <c r="DS50" s="204"/>
      <c r="DT50" s="204"/>
      <c r="DU50" s="204"/>
      <c r="DV50" s="204"/>
      <c r="DW50" s="204"/>
      <c r="DX50" s="204"/>
      <c r="DY50" s="204"/>
      <c r="DZ50" s="204"/>
      <c r="EA50" s="204"/>
      <c r="EB50" s="204"/>
      <c r="EC50" s="204"/>
      <c r="ED50" s="204"/>
      <c r="EE50" s="204"/>
      <c r="EF50" s="204"/>
      <c r="EG50" s="204"/>
      <c r="EH50" s="250">
        <f t="shared" si="23"/>
        <v>8286790.4800000004</v>
      </c>
      <c r="EI50" s="250">
        <f t="shared" si="18"/>
        <v>2486076.58</v>
      </c>
      <c r="EJ50" s="250">
        <f t="shared" si="18"/>
        <v>5800713.8999999994</v>
      </c>
      <c r="EK50" s="204">
        <f t="shared" si="10"/>
        <v>8286790.4800000004</v>
      </c>
      <c r="EL50" s="204">
        <f t="shared" si="24"/>
        <v>0</v>
      </c>
      <c r="EM50" s="204">
        <f t="shared" si="12"/>
        <v>131.45999999996275</v>
      </c>
      <c r="EN50" s="204">
        <f t="shared" si="13"/>
        <v>2486076.580000001</v>
      </c>
      <c r="EO50" s="204">
        <f t="shared" si="14"/>
        <v>131.45999999996275</v>
      </c>
      <c r="EP50" s="204"/>
      <c r="EQ50" s="55">
        <v>44741</v>
      </c>
      <c r="ER50" s="55">
        <v>44860</v>
      </c>
      <c r="ES50" s="18"/>
      <c r="ET50" s="47" t="s">
        <v>1207</v>
      </c>
      <c r="EU50" s="47" t="s">
        <v>1229</v>
      </c>
      <c r="EV50" s="18"/>
      <c r="EW50" s="18"/>
      <c r="EX50" s="18"/>
      <c r="EY50" s="331">
        <f t="shared" si="15"/>
        <v>0.99998413645006534</v>
      </c>
      <c r="EZ50" s="332">
        <v>1</v>
      </c>
      <c r="FA50" s="336"/>
      <c r="FB50" s="336">
        <f t="shared" si="16"/>
        <v>-1</v>
      </c>
      <c r="FC50" s="337">
        <f t="shared" si="25"/>
        <v>0.99998413645006534</v>
      </c>
      <c r="FD50" s="338" t="s">
        <v>147</v>
      </c>
      <c r="FE50" s="47" t="s">
        <v>133</v>
      </c>
      <c r="FF50" s="47"/>
      <c r="FG50" s="47" t="s">
        <v>159</v>
      </c>
      <c r="FH50" s="47" t="s">
        <v>146</v>
      </c>
      <c r="FI50" s="25">
        <v>6950</v>
      </c>
      <c r="FJ50" s="199" t="s">
        <v>1230</v>
      </c>
    </row>
    <row r="51" spans="1:166" ht="135.75" hidden="1" customHeight="1">
      <c r="A51" s="15"/>
      <c r="B51" s="5" t="s">
        <v>289</v>
      </c>
      <c r="C51" s="56" t="s">
        <v>956</v>
      </c>
      <c r="D51" s="125" t="s">
        <v>1111</v>
      </c>
      <c r="E51" s="125"/>
      <c r="F51" s="47">
        <v>121607</v>
      </c>
      <c r="G51" s="18" t="s">
        <v>254</v>
      </c>
      <c r="H51" s="19">
        <f>9000000-837660.49</f>
        <v>8162339.5099999998</v>
      </c>
      <c r="I51" s="19">
        <v>8162339.5099999998</v>
      </c>
      <c r="J51" s="18" t="s">
        <v>253</v>
      </c>
      <c r="K51" s="18" t="s">
        <v>686</v>
      </c>
      <c r="L51" s="18" t="s">
        <v>813</v>
      </c>
      <c r="M51" s="47" t="s">
        <v>688</v>
      </c>
      <c r="N51" s="18" t="s">
        <v>689</v>
      </c>
      <c r="O51" s="47">
        <v>5515550594</v>
      </c>
      <c r="P51" s="20" t="s">
        <v>837</v>
      </c>
      <c r="Q51" s="21"/>
      <c r="R51" s="22"/>
      <c r="S51" s="22"/>
      <c r="T51" s="22"/>
      <c r="U51" s="22"/>
      <c r="V51" s="48">
        <v>44760</v>
      </c>
      <c r="W51" s="48">
        <v>44762</v>
      </c>
      <c r="X51" s="23">
        <v>7036499.5800000001</v>
      </c>
      <c r="Y51" s="23">
        <f t="shared" si="4"/>
        <v>8162339.5127999997</v>
      </c>
      <c r="Z51" s="23">
        <v>8162339.5099999998</v>
      </c>
      <c r="AA51" s="204">
        <f t="shared" si="9"/>
        <v>0</v>
      </c>
      <c r="AB51" s="204">
        <v>0</v>
      </c>
      <c r="AC51" s="204">
        <v>0</v>
      </c>
      <c r="AD51" s="204">
        <v>2063148.79</v>
      </c>
      <c r="AE51" s="204">
        <v>0</v>
      </c>
      <c r="AF51" s="50">
        <f t="shared" si="5"/>
        <v>2063148.79</v>
      </c>
      <c r="AG51" s="253">
        <v>44839</v>
      </c>
      <c r="AH51" s="204">
        <v>5766095.5</v>
      </c>
      <c r="AI51" s="204">
        <v>0</v>
      </c>
      <c r="AJ51" s="204">
        <f t="shared" si="6"/>
        <v>5766095.5</v>
      </c>
      <c r="AK51" s="253">
        <v>44860</v>
      </c>
      <c r="AL51" s="204">
        <v>327840.34999999998</v>
      </c>
      <c r="AM51" s="254">
        <v>0</v>
      </c>
      <c r="AN51" s="204">
        <f t="shared" si="26"/>
        <v>327840.34999999998</v>
      </c>
      <c r="AO51" s="312" t="s">
        <v>1291</v>
      </c>
      <c r="AP51" s="204"/>
      <c r="AQ51" s="204"/>
      <c r="AR51" s="204"/>
      <c r="AS51" s="253"/>
      <c r="AT51" s="204"/>
      <c r="AU51" s="204"/>
      <c r="AV51" s="204"/>
      <c r="AW51" s="249"/>
      <c r="AX51" s="204"/>
      <c r="AY51" s="204"/>
      <c r="AZ51" s="204"/>
      <c r="BA51" s="204"/>
      <c r="BB51" s="204"/>
      <c r="BC51" s="204"/>
      <c r="BD51" s="204"/>
      <c r="BE51" s="204"/>
      <c r="BF51" s="204"/>
      <c r="BG51" s="204"/>
      <c r="BH51" s="204"/>
      <c r="BI51" s="204"/>
      <c r="BJ51" s="204"/>
      <c r="BK51" s="204"/>
      <c r="BL51" s="204"/>
      <c r="BM51" s="204"/>
      <c r="BN51" s="204"/>
      <c r="BO51" s="204"/>
      <c r="BP51" s="204"/>
      <c r="BQ51" s="204"/>
      <c r="BR51" s="204"/>
      <c r="BS51" s="204"/>
      <c r="BT51" s="204"/>
      <c r="BU51" s="204"/>
      <c r="BV51" s="204"/>
      <c r="BW51" s="204"/>
      <c r="BX51" s="204"/>
      <c r="BY51" s="204"/>
      <c r="BZ51" s="204"/>
      <c r="CA51" s="204"/>
      <c r="CB51" s="204"/>
      <c r="CC51" s="204"/>
      <c r="CD51" s="204"/>
      <c r="CE51" s="204"/>
      <c r="CF51" s="204"/>
      <c r="CG51" s="204"/>
      <c r="CH51" s="204"/>
      <c r="CI51" s="204"/>
      <c r="CJ51" s="204"/>
      <c r="CK51" s="204"/>
      <c r="CL51" s="204"/>
      <c r="CM51" s="204"/>
      <c r="CN51" s="204"/>
      <c r="CO51" s="204"/>
      <c r="CP51" s="204"/>
      <c r="CQ51" s="204"/>
      <c r="CR51" s="204"/>
      <c r="CS51" s="204"/>
      <c r="CT51" s="204"/>
      <c r="CU51" s="204"/>
      <c r="CV51" s="204"/>
      <c r="CW51" s="204"/>
      <c r="CX51" s="204"/>
      <c r="CY51" s="204"/>
      <c r="CZ51" s="204"/>
      <c r="DA51" s="204"/>
      <c r="DB51" s="204"/>
      <c r="DC51" s="204"/>
      <c r="DD51" s="204"/>
      <c r="DE51" s="204"/>
      <c r="DF51" s="204"/>
      <c r="DG51" s="204"/>
      <c r="DH51" s="204"/>
      <c r="DI51" s="204"/>
      <c r="DJ51" s="204"/>
      <c r="DK51" s="204"/>
      <c r="DL51" s="204"/>
      <c r="DM51" s="204"/>
      <c r="DN51" s="204"/>
      <c r="DO51" s="204"/>
      <c r="DP51" s="204"/>
      <c r="DQ51" s="204"/>
      <c r="DR51" s="204"/>
      <c r="DS51" s="204"/>
      <c r="DT51" s="204"/>
      <c r="DU51" s="204"/>
      <c r="DV51" s="204"/>
      <c r="DW51" s="204"/>
      <c r="DX51" s="204"/>
      <c r="DY51" s="204"/>
      <c r="DZ51" s="204"/>
      <c r="EA51" s="204"/>
      <c r="EB51" s="204"/>
      <c r="EC51" s="204"/>
      <c r="ED51" s="204"/>
      <c r="EE51" s="204"/>
      <c r="EF51" s="204"/>
      <c r="EG51" s="204"/>
      <c r="EH51" s="250">
        <f t="shared" si="23"/>
        <v>8157084.6399999997</v>
      </c>
      <c r="EI51" s="250">
        <f t="shared" si="18"/>
        <v>0</v>
      </c>
      <c r="EJ51" s="250">
        <f t="shared" si="18"/>
        <v>8157084.6399999997</v>
      </c>
      <c r="EK51" s="204">
        <f t="shared" si="10"/>
        <v>8157084.6399999997</v>
      </c>
      <c r="EL51" s="204">
        <f t="shared" si="24"/>
        <v>0</v>
      </c>
      <c r="EM51" s="204">
        <f t="shared" si="12"/>
        <v>5254.8700000001118</v>
      </c>
      <c r="EN51" s="204">
        <f t="shared" si="13"/>
        <v>0</v>
      </c>
      <c r="EO51" s="204">
        <f t="shared" si="14"/>
        <v>5254.8700000001118</v>
      </c>
      <c r="EP51" s="204"/>
      <c r="EQ51" s="55">
        <v>44763</v>
      </c>
      <c r="ER51" s="55">
        <v>44910</v>
      </c>
      <c r="ES51" s="18"/>
      <c r="ET51" s="18"/>
      <c r="EU51" s="18"/>
      <c r="EV51" s="18"/>
      <c r="EW51" s="18"/>
      <c r="EX51" s="47" t="s">
        <v>1312</v>
      </c>
      <c r="EY51" s="331">
        <f t="shared" si="15"/>
        <v>0.99935620541223968</v>
      </c>
      <c r="EZ51" s="332">
        <v>1</v>
      </c>
      <c r="FA51" s="336"/>
      <c r="FB51" s="336">
        <f t="shared" si="16"/>
        <v>-1</v>
      </c>
      <c r="FC51" s="337">
        <f t="shared" si="25"/>
        <v>0.99935620541223968</v>
      </c>
      <c r="FD51" s="338" t="s">
        <v>147</v>
      </c>
      <c r="FE51" s="47" t="s">
        <v>255</v>
      </c>
      <c r="FF51" s="47"/>
      <c r="FG51" s="47" t="s">
        <v>138</v>
      </c>
      <c r="FH51" s="47" t="s">
        <v>148</v>
      </c>
      <c r="FI51" s="25">
        <v>6000</v>
      </c>
      <c r="FJ51" s="199" t="s">
        <v>1290</v>
      </c>
    </row>
    <row r="52" spans="1:166" ht="135.75" hidden="1" customHeight="1">
      <c r="A52" s="15"/>
      <c r="B52" s="5" t="s">
        <v>289</v>
      </c>
      <c r="C52" s="56" t="s">
        <v>957</v>
      </c>
      <c r="D52" s="125" t="s">
        <v>1111</v>
      </c>
      <c r="E52" s="125"/>
      <c r="F52" s="47">
        <v>121608</v>
      </c>
      <c r="G52" s="18" t="s">
        <v>256</v>
      </c>
      <c r="H52" s="19">
        <f>11000000-2012775.93</f>
        <v>8987224.0700000003</v>
      </c>
      <c r="I52" s="19">
        <v>8987224.0700000003</v>
      </c>
      <c r="J52" s="18" t="s">
        <v>253</v>
      </c>
      <c r="K52" s="18" t="s">
        <v>708</v>
      </c>
      <c r="L52" s="18" t="s">
        <v>710</v>
      </c>
      <c r="M52" s="47" t="s">
        <v>158</v>
      </c>
      <c r="N52" s="18" t="s">
        <v>709</v>
      </c>
      <c r="O52" s="47">
        <v>7222994781</v>
      </c>
      <c r="P52" s="207" t="s">
        <v>715</v>
      </c>
      <c r="Q52" s="21"/>
      <c r="R52" s="22"/>
      <c r="S52" s="22"/>
      <c r="T52" s="22"/>
      <c r="U52" s="22"/>
      <c r="V52" s="48">
        <v>44740</v>
      </c>
      <c r="W52" s="48">
        <v>44742</v>
      </c>
      <c r="X52" s="23">
        <v>7747606.96</v>
      </c>
      <c r="Y52" s="23">
        <f t="shared" si="4"/>
        <v>8987224.0735999998</v>
      </c>
      <c r="Z52" s="23">
        <v>8987224.0700000003</v>
      </c>
      <c r="AA52" s="204">
        <f t="shared" si="9"/>
        <v>0</v>
      </c>
      <c r="AB52" s="204">
        <v>2696167.22</v>
      </c>
      <c r="AC52" s="204">
        <v>2696167.22</v>
      </c>
      <c r="AD52" s="204">
        <v>2385051.9900000002</v>
      </c>
      <c r="AE52" s="204">
        <v>715515.6</v>
      </c>
      <c r="AF52" s="50">
        <f t="shared" si="5"/>
        <v>1669536.3900000001</v>
      </c>
      <c r="AG52" s="253">
        <v>44830</v>
      </c>
      <c r="AH52" s="204">
        <v>3331219.8</v>
      </c>
      <c r="AI52" s="204">
        <v>999365.94</v>
      </c>
      <c r="AJ52" s="204">
        <f t="shared" si="6"/>
        <v>2331853.86</v>
      </c>
      <c r="AK52" s="253">
        <v>44855</v>
      </c>
      <c r="AL52" s="50">
        <v>3122607.86</v>
      </c>
      <c r="AM52" s="50">
        <v>981285.68</v>
      </c>
      <c r="AN52" s="204">
        <f t="shared" si="26"/>
        <v>2141322.1799999997</v>
      </c>
      <c r="AO52" s="253">
        <v>44890</v>
      </c>
      <c r="AP52" s="50">
        <v>73782.100000000006</v>
      </c>
      <c r="AQ52" s="204">
        <v>0</v>
      </c>
      <c r="AR52" s="204">
        <f>AP52-AQ52</f>
        <v>73782.100000000006</v>
      </c>
      <c r="AS52" s="312" t="s">
        <v>1330</v>
      </c>
      <c r="AT52" s="204"/>
      <c r="AU52" s="204"/>
      <c r="AV52" s="204"/>
      <c r="AW52" s="249"/>
      <c r="AX52" s="204"/>
      <c r="AY52" s="204"/>
      <c r="AZ52" s="204"/>
      <c r="BA52" s="204"/>
      <c r="BB52" s="204"/>
      <c r="BC52" s="204"/>
      <c r="BD52" s="204"/>
      <c r="BE52" s="204"/>
      <c r="BF52" s="204"/>
      <c r="BG52" s="204"/>
      <c r="BH52" s="204"/>
      <c r="BI52" s="204"/>
      <c r="BJ52" s="204"/>
      <c r="BK52" s="204"/>
      <c r="BL52" s="204"/>
      <c r="BM52" s="204"/>
      <c r="BN52" s="204"/>
      <c r="BO52" s="204"/>
      <c r="BP52" s="204"/>
      <c r="BQ52" s="204"/>
      <c r="BR52" s="204"/>
      <c r="BS52" s="204"/>
      <c r="BT52" s="204"/>
      <c r="BU52" s="204"/>
      <c r="BV52" s="204"/>
      <c r="BW52" s="204"/>
      <c r="BX52" s="204"/>
      <c r="BY52" s="204"/>
      <c r="BZ52" s="204"/>
      <c r="CA52" s="204"/>
      <c r="CB52" s="204"/>
      <c r="CC52" s="204"/>
      <c r="CD52" s="204"/>
      <c r="CE52" s="204"/>
      <c r="CF52" s="204"/>
      <c r="CG52" s="204"/>
      <c r="CH52" s="204"/>
      <c r="CI52" s="204"/>
      <c r="CJ52" s="204"/>
      <c r="CK52" s="204"/>
      <c r="CL52" s="204"/>
      <c r="CM52" s="204"/>
      <c r="CN52" s="204"/>
      <c r="CO52" s="204"/>
      <c r="CP52" s="204"/>
      <c r="CQ52" s="204"/>
      <c r="CR52" s="204"/>
      <c r="CS52" s="204"/>
      <c r="CT52" s="204"/>
      <c r="CU52" s="204"/>
      <c r="CV52" s="204"/>
      <c r="CW52" s="204"/>
      <c r="CX52" s="204"/>
      <c r="CY52" s="204"/>
      <c r="CZ52" s="204"/>
      <c r="DA52" s="204"/>
      <c r="DB52" s="204"/>
      <c r="DC52" s="204"/>
      <c r="DD52" s="204"/>
      <c r="DE52" s="204"/>
      <c r="DF52" s="204"/>
      <c r="DG52" s="204"/>
      <c r="DH52" s="204"/>
      <c r="DI52" s="204"/>
      <c r="DJ52" s="204"/>
      <c r="DK52" s="204"/>
      <c r="DL52" s="204"/>
      <c r="DM52" s="204"/>
      <c r="DN52" s="204"/>
      <c r="DO52" s="204"/>
      <c r="DP52" s="204"/>
      <c r="DQ52" s="204"/>
      <c r="DR52" s="204"/>
      <c r="DS52" s="204"/>
      <c r="DT52" s="204"/>
      <c r="DU52" s="204"/>
      <c r="DV52" s="204"/>
      <c r="DW52" s="204"/>
      <c r="DX52" s="204"/>
      <c r="DY52" s="204"/>
      <c r="DZ52" s="204"/>
      <c r="EA52" s="204"/>
      <c r="EB52" s="204"/>
      <c r="EC52" s="204"/>
      <c r="ED52" s="204"/>
      <c r="EE52" s="204"/>
      <c r="EF52" s="204"/>
      <c r="EG52" s="204"/>
      <c r="EH52" s="250">
        <f t="shared" si="23"/>
        <v>8912661.75</v>
      </c>
      <c r="EI52" s="250">
        <f t="shared" si="18"/>
        <v>2696167.22</v>
      </c>
      <c r="EJ52" s="250">
        <f t="shared" si="18"/>
        <v>6216494.5299999993</v>
      </c>
      <c r="EK52" s="204">
        <f t="shared" si="10"/>
        <v>8912661.75</v>
      </c>
      <c r="EL52" s="204">
        <f t="shared" si="24"/>
        <v>0</v>
      </c>
      <c r="EM52" s="204">
        <f t="shared" si="12"/>
        <v>74562.320000000298</v>
      </c>
      <c r="EN52" s="204">
        <f t="shared" si="13"/>
        <v>2696167.2200000007</v>
      </c>
      <c r="EO52" s="204">
        <f t="shared" si="14"/>
        <v>74562.320000000298</v>
      </c>
      <c r="EP52" s="204"/>
      <c r="EQ52" s="55">
        <v>44743</v>
      </c>
      <c r="ER52" s="55">
        <v>44922</v>
      </c>
      <c r="ES52" s="18"/>
      <c r="ET52" s="18"/>
      <c r="EU52" s="18"/>
      <c r="EV52" s="18"/>
      <c r="EW52" s="18"/>
      <c r="EX52" s="47" t="s">
        <v>1326</v>
      </c>
      <c r="EY52" s="331">
        <f t="shared" si="15"/>
        <v>0.99170352052878097</v>
      </c>
      <c r="EZ52" s="332">
        <v>1</v>
      </c>
      <c r="FA52" s="336"/>
      <c r="FB52" s="336">
        <f t="shared" si="16"/>
        <v>-1</v>
      </c>
      <c r="FC52" s="337">
        <f t="shared" si="25"/>
        <v>0.99170352052878097</v>
      </c>
      <c r="FD52" s="338" t="s">
        <v>147</v>
      </c>
      <c r="FE52" s="47" t="s">
        <v>257</v>
      </c>
      <c r="FF52" s="47"/>
      <c r="FG52" s="47" t="s">
        <v>138</v>
      </c>
      <c r="FH52" s="47" t="s">
        <v>148</v>
      </c>
      <c r="FI52" s="25">
        <v>4000</v>
      </c>
      <c r="FJ52" s="199" t="s">
        <v>1287</v>
      </c>
    </row>
    <row r="53" spans="1:166" ht="143.25" hidden="1" customHeight="1">
      <c r="A53" s="15"/>
      <c r="B53" s="5" t="s">
        <v>289</v>
      </c>
      <c r="C53" s="56" t="s">
        <v>956</v>
      </c>
      <c r="D53" s="125" t="s">
        <v>1111</v>
      </c>
      <c r="E53" s="125"/>
      <c r="F53" s="47">
        <v>121609</v>
      </c>
      <c r="G53" s="18" t="s">
        <v>258</v>
      </c>
      <c r="H53" s="19">
        <f>12000000-916666.53</f>
        <v>11083333.470000001</v>
      </c>
      <c r="I53" s="19">
        <v>11083333.470000001</v>
      </c>
      <c r="J53" s="18" t="s">
        <v>253</v>
      </c>
      <c r="K53" s="18" t="s">
        <v>727</v>
      </c>
      <c r="L53" s="18" t="s">
        <v>193</v>
      </c>
      <c r="M53" s="47" t="s">
        <v>194</v>
      </c>
      <c r="N53" s="18" t="s">
        <v>728</v>
      </c>
      <c r="O53" s="47">
        <v>5536007934</v>
      </c>
      <c r="P53" s="207" t="s">
        <v>745</v>
      </c>
      <c r="Q53" s="21"/>
      <c r="R53" s="22"/>
      <c r="S53" s="22"/>
      <c r="T53" s="22"/>
      <c r="U53" s="22"/>
      <c r="V53" s="48">
        <v>44746</v>
      </c>
      <c r="W53" s="48">
        <v>44748</v>
      </c>
      <c r="X53" s="23">
        <v>9554597.8200000003</v>
      </c>
      <c r="Y53" s="23">
        <f t="shared" si="4"/>
        <v>11083333.4712</v>
      </c>
      <c r="Z53" s="23">
        <v>11083333.470000001</v>
      </c>
      <c r="AA53" s="204">
        <f t="shared" si="9"/>
        <v>0</v>
      </c>
      <c r="AB53" s="204">
        <v>3325000.04</v>
      </c>
      <c r="AC53" s="204">
        <v>3325000.04</v>
      </c>
      <c r="AD53" s="204">
        <v>258621.57</v>
      </c>
      <c r="AE53" s="204">
        <v>77586.47</v>
      </c>
      <c r="AF53" s="50">
        <f t="shared" si="5"/>
        <v>181035.1</v>
      </c>
      <c r="AG53" s="253">
        <v>44795</v>
      </c>
      <c r="AH53" s="204">
        <v>1054454.92</v>
      </c>
      <c r="AI53" s="204">
        <v>316336.48</v>
      </c>
      <c r="AJ53" s="204">
        <f t="shared" si="6"/>
        <v>738118.44</v>
      </c>
      <c r="AK53" s="253">
        <v>44813</v>
      </c>
      <c r="AL53" s="50">
        <v>802862.38</v>
      </c>
      <c r="AM53" s="50">
        <v>240858.71</v>
      </c>
      <c r="AN53" s="204">
        <f t="shared" si="26"/>
        <v>562003.67000000004</v>
      </c>
      <c r="AO53" s="253">
        <v>44839</v>
      </c>
      <c r="AP53" s="204">
        <v>3283316.23</v>
      </c>
      <c r="AQ53" s="204">
        <v>984994.87</v>
      </c>
      <c r="AR53" s="204">
        <f>AP53-AQ53</f>
        <v>2298321.36</v>
      </c>
      <c r="AS53" s="253">
        <v>44855</v>
      </c>
      <c r="AT53" s="204">
        <v>311484.2</v>
      </c>
      <c r="AU53" s="204">
        <v>93445.26</v>
      </c>
      <c r="AV53" s="204">
        <f>AT53-AU53</f>
        <v>218038.94</v>
      </c>
      <c r="AW53" s="253">
        <v>44866</v>
      </c>
      <c r="AX53" s="204">
        <v>1161511.6200000001</v>
      </c>
      <c r="AY53" s="204">
        <v>348453.49</v>
      </c>
      <c r="AZ53" s="204">
        <f>AX53-AY53</f>
        <v>813058.13000000012</v>
      </c>
      <c r="BA53" s="253">
        <v>44890</v>
      </c>
      <c r="BB53" s="204">
        <v>2667641.54</v>
      </c>
      <c r="BC53" s="204">
        <v>1263324.76</v>
      </c>
      <c r="BD53" s="204">
        <f>BB53-BC53</f>
        <v>1404316.78</v>
      </c>
      <c r="BE53" s="253">
        <v>44902</v>
      </c>
      <c r="BF53" s="204">
        <v>517873.85</v>
      </c>
      <c r="BG53" s="204">
        <v>0</v>
      </c>
      <c r="BH53" s="204">
        <f>BF53-BG53</f>
        <v>517873.85</v>
      </c>
      <c r="BI53" s="253">
        <v>44904</v>
      </c>
      <c r="BJ53" s="204">
        <v>208275.61</v>
      </c>
      <c r="BK53" s="204">
        <v>0</v>
      </c>
      <c r="BL53" s="204">
        <f>BJ53-BK53</f>
        <v>208275.61</v>
      </c>
      <c r="BM53" s="253">
        <v>44924</v>
      </c>
      <c r="BN53" s="204">
        <v>0</v>
      </c>
      <c r="BO53" s="204">
        <v>0</v>
      </c>
      <c r="BP53" s="204">
        <f>BN53-BO53</f>
        <v>0</v>
      </c>
      <c r="BQ53" s="253">
        <v>44986</v>
      </c>
      <c r="BR53" s="204">
        <v>0</v>
      </c>
      <c r="BS53" s="204">
        <v>0</v>
      </c>
      <c r="BT53" s="204">
        <v>0</v>
      </c>
      <c r="BU53" s="204" t="s">
        <v>305</v>
      </c>
      <c r="BV53" s="204"/>
      <c r="BW53" s="204"/>
      <c r="BX53" s="204"/>
      <c r="BY53" s="204"/>
      <c r="BZ53" s="204"/>
      <c r="CA53" s="204"/>
      <c r="CB53" s="204"/>
      <c r="CC53" s="204"/>
      <c r="CD53" s="204"/>
      <c r="CE53" s="204"/>
      <c r="CF53" s="204"/>
      <c r="CG53" s="204"/>
      <c r="CH53" s="204"/>
      <c r="CI53" s="204"/>
      <c r="CJ53" s="204"/>
      <c r="CK53" s="204"/>
      <c r="CL53" s="204"/>
      <c r="CM53" s="204"/>
      <c r="CN53" s="204"/>
      <c r="CO53" s="204"/>
      <c r="CP53" s="204"/>
      <c r="CQ53" s="204"/>
      <c r="CR53" s="204"/>
      <c r="CS53" s="204"/>
      <c r="CT53" s="204"/>
      <c r="CU53" s="204"/>
      <c r="CV53" s="204"/>
      <c r="CW53" s="204"/>
      <c r="CX53" s="204"/>
      <c r="CY53" s="204"/>
      <c r="CZ53" s="204"/>
      <c r="DA53" s="204"/>
      <c r="DB53" s="204"/>
      <c r="DC53" s="204"/>
      <c r="DD53" s="204"/>
      <c r="DE53" s="204"/>
      <c r="DF53" s="204"/>
      <c r="DG53" s="204"/>
      <c r="DH53" s="204"/>
      <c r="DI53" s="204"/>
      <c r="DJ53" s="204"/>
      <c r="DK53" s="204"/>
      <c r="DL53" s="204"/>
      <c r="DM53" s="204"/>
      <c r="DN53" s="204"/>
      <c r="DO53" s="204"/>
      <c r="DP53" s="204"/>
      <c r="DQ53" s="204"/>
      <c r="DR53" s="204"/>
      <c r="DS53" s="204"/>
      <c r="DT53" s="204"/>
      <c r="DU53" s="204"/>
      <c r="DV53" s="204"/>
      <c r="DW53" s="204"/>
      <c r="DX53" s="204"/>
      <c r="DY53" s="204"/>
      <c r="DZ53" s="204"/>
      <c r="EA53" s="204"/>
      <c r="EB53" s="204"/>
      <c r="EC53" s="204"/>
      <c r="ED53" s="204"/>
      <c r="EE53" s="204"/>
      <c r="EF53" s="204"/>
      <c r="EG53" s="204"/>
      <c r="EH53" s="250">
        <f t="shared" ref="EH53:EH113" si="27">AD53+AH53+AL53+AP53+AT53+AX53+BB53+BF53+BJ53+BN53+BR53+BV53+BZ53+CD53+CH53+CL53+CP53+CT53+CX53+DA53+DD53+DG53+DJ53+DM53+DP53+DS53+DV53+DY53+EB53+EE53</f>
        <v>10266041.92</v>
      </c>
      <c r="EI53" s="250">
        <f t="shared" si="18"/>
        <v>3325000.04</v>
      </c>
      <c r="EJ53" s="250">
        <f t="shared" si="18"/>
        <v>6941041.8799999999</v>
      </c>
      <c r="EK53" s="204">
        <f t="shared" si="10"/>
        <v>10266041.920000002</v>
      </c>
      <c r="EL53" s="204">
        <f t="shared" si="24"/>
        <v>0</v>
      </c>
      <c r="EM53" s="204">
        <f t="shared" si="12"/>
        <v>817291.55000000075</v>
      </c>
      <c r="EN53" s="204">
        <f t="shared" si="13"/>
        <v>3325000.04</v>
      </c>
      <c r="EO53" s="204">
        <f t="shared" si="14"/>
        <v>817291.55000000075</v>
      </c>
      <c r="EP53" s="204"/>
      <c r="EQ53" s="55">
        <v>44749</v>
      </c>
      <c r="ER53" s="55">
        <v>44898</v>
      </c>
      <c r="ES53" s="18"/>
      <c r="ET53" s="18"/>
      <c r="EU53" s="18"/>
      <c r="EV53" s="18"/>
      <c r="EW53" s="18"/>
      <c r="EX53" s="18"/>
      <c r="EY53" s="331">
        <f t="shared" si="15"/>
        <v>0.92625940993183875</v>
      </c>
      <c r="EZ53" s="332">
        <v>0.98</v>
      </c>
      <c r="FA53" s="336"/>
      <c r="FB53" s="336">
        <f t="shared" si="16"/>
        <v>-0.98</v>
      </c>
      <c r="FC53" s="337">
        <f t="shared" si="25"/>
        <v>0.92625940993183897</v>
      </c>
      <c r="FD53" s="338" t="s">
        <v>147</v>
      </c>
      <c r="FE53" s="47" t="s">
        <v>259</v>
      </c>
      <c r="FF53" s="47"/>
      <c r="FG53" s="47" t="s">
        <v>162</v>
      </c>
      <c r="FH53" s="47" t="s">
        <v>146</v>
      </c>
      <c r="FI53" s="25">
        <v>4046</v>
      </c>
      <c r="FJ53" s="199" t="s">
        <v>1191</v>
      </c>
    </row>
    <row r="54" spans="1:166" ht="135.75" hidden="1" customHeight="1">
      <c r="A54" s="15"/>
      <c r="B54" s="5" t="s">
        <v>289</v>
      </c>
      <c r="C54" s="56" t="s">
        <v>907</v>
      </c>
      <c r="D54" s="125" t="s">
        <v>1111</v>
      </c>
      <c r="E54" s="125"/>
      <c r="F54" s="47">
        <v>121610</v>
      </c>
      <c r="G54" s="18" t="s">
        <v>260</v>
      </c>
      <c r="H54" s="19">
        <f>12000000-2060.06</f>
        <v>11997939.939999999</v>
      </c>
      <c r="I54" s="19">
        <v>11997939.939999999</v>
      </c>
      <c r="J54" s="18" t="s">
        <v>253</v>
      </c>
      <c r="K54" s="18" t="s">
        <v>172</v>
      </c>
      <c r="L54" s="18" t="s">
        <v>755</v>
      </c>
      <c r="M54" s="47" t="s">
        <v>173</v>
      </c>
      <c r="N54" s="18" t="s">
        <v>756</v>
      </c>
      <c r="O54" s="47" t="s">
        <v>757</v>
      </c>
      <c r="P54" s="207" t="s">
        <v>758</v>
      </c>
      <c r="Q54" s="21"/>
      <c r="R54" s="22"/>
      <c r="S54" s="22"/>
      <c r="T54" s="22"/>
      <c r="U54" s="22"/>
      <c r="V54" s="48">
        <v>44753</v>
      </c>
      <c r="W54" s="48">
        <v>44755</v>
      </c>
      <c r="X54" s="23">
        <v>10343051.67</v>
      </c>
      <c r="Y54" s="23">
        <f t="shared" si="4"/>
        <v>11997939.937199999</v>
      </c>
      <c r="Z54" s="23">
        <v>11997939.939999999</v>
      </c>
      <c r="AA54" s="204">
        <f t="shared" si="9"/>
        <v>0</v>
      </c>
      <c r="AB54" s="204">
        <v>0</v>
      </c>
      <c r="AC54" s="204">
        <v>0</v>
      </c>
      <c r="AD54" s="204">
        <v>1763920.04</v>
      </c>
      <c r="AE54" s="204">
        <v>0</v>
      </c>
      <c r="AF54" s="50">
        <f t="shared" si="5"/>
        <v>1763920.04</v>
      </c>
      <c r="AG54" s="253">
        <v>44791</v>
      </c>
      <c r="AH54" s="204">
        <v>1283962.8999999999</v>
      </c>
      <c r="AI54" s="204">
        <v>0</v>
      </c>
      <c r="AJ54" s="204">
        <f t="shared" si="6"/>
        <v>1283962.8999999999</v>
      </c>
      <c r="AK54" s="253">
        <v>44838</v>
      </c>
      <c r="AL54" s="50">
        <v>2187796.19</v>
      </c>
      <c r="AM54" s="254">
        <v>0</v>
      </c>
      <c r="AN54" s="204">
        <f t="shared" si="26"/>
        <v>2187796.19</v>
      </c>
      <c r="AO54" s="253">
        <v>44895</v>
      </c>
      <c r="AP54" s="204">
        <v>2592548.52</v>
      </c>
      <c r="AQ54" s="204">
        <v>0</v>
      </c>
      <c r="AR54" s="204">
        <f>AP54-AQ54</f>
        <v>2592548.52</v>
      </c>
      <c r="AS54" s="253">
        <v>44910</v>
      </c>
      <c r="AT54" s="204">
        <v>1309742.71</v>
      </c>
      <c r="AU54" s="204">
        <v>0</v>
      </c>
      <c r="AV54" s="204">
        <f>AT54-AU54</f>
        <v>1309742.71</v>
      </c>
      <c r="AW54" s="249">
        <v>44960</v>
      </c>
      <c r="AX54" s="204">
        <v>2540879.4</v>
      </c>
      <c r="AY54" s="204">
        <v>0</v>
      </c>
      <c r="AZ54" s="204">
        <f>AX54-AY54</f>
        <v>2540879.4</v>
      </c>
      <c r="BA54" s="253">
        <v>45002</v>
      </c>
      <c r="BB54" s="204">
        <v>280396.65000000002</v>
      </c>
      <c r="BC54" s="204">
        <v>0</v>
      </c>
      <c r="BD54" s="204">
        <f>BB54-BC54</f>
        <v>280396.65000000002</v>
      </c>
      <c r="BE54" s="204"/>
      <c r="BF54" s="204"/>
      <c r="BG54" s="204"/>
      <c r="BH54" s="204"/>
      <c r="BI54" s="204"/>
      <c r="BJ54" s="204"/>
      <c r="BK54" s="204"/>
      <c r="BL54" s="204"/>
      <c r="BM54" s="204"/>
      <c r="BN54" s="204"/>
      <c r="BO54" s="204"/>
      <c r="BP54" s="204"/>
      <c r="BQ54" s="204"/>
      <c r="BR54" s="204"/>
      <c r="BS54" s="204"/>
      <c r="BT54" s="204"/>
      <c r="BU54" s="204"/>
      <c r="BV54" s="204"/>
      <c r="BW54" s="204"/>
      <c r="BX54" s="204"/>
      <c r="BY54" s="204"/>
      <c r="BZ54" s="204"/>
      <c r="CA54" s="204"/>
      <c r="CB54" s="204"/>
      <c r="CC54" s="204"/>
      <c r="CD54" s="204"/>
      <c r="CE54" s="204"/>
      <c r="CF54" s="204"/>
      <c r="CG54" s="204"/>
      <c r="CH54" s="204"/>
      <c r="CI54" s="204"/>
      <c r="CJ54" s="204"/>
      <c r="CK54" s="204"/>
      <c r="CL54" s="204"/>
      <c r="CM54" s="204"/>
      <c r="CN54" s="204"/>
      <c r="CO54" s="204"/>
      <c r="CP54" s="204"/>
      <c r="CQ54" s="204"/>
      <c r="CR54" s="204"/>
      <c r="CS54" s="204"/>
      <c r="CT54" s="204"/>
      <c r="CU54" s="204"/>
      <c r="CV54" s="204"/>
      <c r="CW54" s="204"/>
      <c r="CX54" s="204"/>
      <c r="CY54" s="204"/>
      <c r="CZ54" s="204"/>
      <c r="DA54" s="204"/>
      <c r="DB54" s="204"/>
      <c r="DC54" s="204"/>
      <c r="DD54" s="204"/>
      <c r="DE54" s="204"/>
      <c r="DF54" s="204"/>
      <c r="DG54" s="204"/>
      <c r="DH54" s="204"/>
      <c r="DI54" s="204"/>
      <c r="DJ54" s="204"/>
      <c r="DK54" s="204"/>
      <c r="DL54" s="204"/>
      <c r="DM54" s="204"/>
      <c r="DN54" s="204"/>
      <c r="DO54" s="204"/>
      <c r="DP54" s="204"/>
      <c r="DQ54" s="204"/>
      <c r="DR54" s="204"/>
      <c r="DS54" s="204"/>
      <c r="DT54" s="204"/>
      <c r="DU54" s="204"/>
      <c r="DV54" s="204"/>
      <c r="DW54" s="204"/>
      <c r="DX54" s="204"/>
      <c r="DY54" s="204"/>
      <c r="DZ54" s="204"/>
      <c r="EA54" s="204"/>
      <c r="EB54" s="204"/>
      <c r="EC54" s="204"/>
      <c r="ED54" s="204"/>
      <c r="EE54" s="204"/>
      <c r="EF54" s="204"/>
      <c r="EG54" s="204"/>
      <c r="EH54" s="250">
        <f t="shared" si="27"/>
        <v>11959246.41</v>
      </c>
      <c r="EI54" s="250">
        <f t="shared" si="18"/>
        <v>0</v>
      </c>
      <c r="EJ54" s="250">
        <f t="shared" si="18"/>
        <v>11959246.41</v>
      </c>
      <c r="EK54" s="204">
        <f t="shared" si="10"/>
        <v>11959246.41</v>
      </c>
      <c r="EL54" s="204">
        <f t="shared" si="24"/>
        <v>0</v>
      </c>
      <c r="EM54" s="204">
        <f t="shared" si="12"/>
        <v>38693.529999999329</v>
      </c>
      <c r="EN54" s="204">
        <f t="shared" si="13"/>
        <v>0</v>
      </c>
      <c r="EO54" s="204">
        <f t="shared" si="14"/>
        <v>38693.529999999329</v>
      </c>
      <c r="EP54" s="204"/>
      <c r="EQ54" s="55">
        <v>44756</v>
      </c>
      <c r="ER54" s="55">
        <v>44910</v>
      </c>
      <c r="ES54" s="18"/>
      <c r="ET54" s="47" t="s">
        <v>1208</v>
      </c>
      <c r="EU54" s="18"/>
      <c r="EV54" s="18"/>
      <c r="EW54" s="18"/>
      <c r="EX54" s="18"/>
      <c r="EY54" s="331">
        <f t="shared" si="15"/>
        <v>0.99677498552305643</v>
      </c>
      <c r="EZ54" s="332">
        <v>1</v>
      </c>
      <c r="FA54" s="336"/>
      <c r="FB54" s="336">
        <f t="shared" si="16"/>
        <v>-1</v>
      </c>
      <c r="FC54" s="337">
        <f t="shared" si="25"/>
        <v>0.99677498552305643</v>
      </c>
      <c r="FD54" s="338" t="s">
        <v>147</v>
      </c>
      <c r="FE54" s="47" t="s">
        <v>178</v>
      </c>
      <c r="FF54" s="47"/>
      <c r="FG54" s="47" t="s">
        <v>154</v>
      </c>
      <c r="FH54" s="47" t="s">
        <v>146</v>
      </c>
      <c r="FI54" s="25">
        <v>550</v>
      </c>
      <c r="FJ54" s="199" t="s">
        <v>1221</v>
      </c>
    </row>
    <row r="55" spans="1:166" ht="135.75" hidden="1" customHeight="1">
      <c r="A55" s="15"/>
      <c r="B55" s="5" t="s">
        <v>289</v>
      </c>
      <c r="C55" s="56" t="s">
        <v>958</v>
      </c>
      <c r="D55" s="125" t="s">
        <v>1111</v>
      </c>
      <c r="E55" s="125"/>
      <c r="F55" s="47">
        <v>121611</v>
      </c>
      <c r="G55" s="18" t="s">
        <v>261</v>
      </c>
      <c r="H55" s="19">
        <f>12000000-30035.9</f>
        <v>11969964.1</v>
      </c>
      <c r="I55" s="19">
        <v>11969964.1</v>
      </c>
      <c r="J55" s="18" t="s">
        <v>253</v>
      </c>
      <c r="K55" s="18" t="s">
        <v>905</v>
      </c>
      <c r="L55" s="18" t="s">
        <v>710</v>
      </c>
      <c r="M55" s="47" t="s">
        <v>158</v>
      </c>
      <c r="N55" s="18" t="s">
        <v>709</v>
      </c>
      <c r="O55" s="47">
        <v>7222994781</v>
      </c>
      <c r="P55" s="207" t="s">
        <v>719</v>
      </c>
      <c r="Q55" s="21"/>
      <c r="R55" s="22"/>
      <c r="S55" s="22"/>
      <c r="T55" s="22"/>
      <c r="U55" s="22"/>
      <c r="V55" s="48">
        <v>44740</v>
      </c>
      <c r="W55" s="48">
        <v>44742</v>
      </c>
      <c r="X55" s="23">
        <v>10318934.57</v>
      </c>
      <c r="Y55" s="23">
        <f t="shared" si="4"/>
        <v>11969964.101199999</v>
      </c>
      <c r="Z55" s="23">
        <v>11969964.1</v>
      </c>
      <c r="AA55" s="204">
        <f t="shared" si="9"/>
        <v>0</v>
      </c>
      <c r="AB55" s="204">
        <v>3590989.23</v>
      </c>
      <c r="AC55" s="204">
        <v>3590989.23</v>
      </c>
      <c r="AD55" s="204">
        <v>2678773.71</v>
      </c>
      <c r="AE55" s="204">
        <v>803632.11</v>
      </c>
      <c r="AF55" s="50">
        <f t="shared" si="5"/>
        <v>1875141.6</v>
      </c>
      <c r="AG55" s="253">
        <v>44797</v>
      </c>
      <c r="AH55" s="204">
        <v>1830040.46</v>
      </c>
      <c r="AI55" s="204">
        <v>732016.18</v>
      </c>
      <c r="AJ55" s="204">
        <f t="shared" si="6"/>
        <v>1098024.2799999998</v>
      </c>
      <c r="AK55" s="253">
        <v>44824</v>
      </c>
      <c r="AL55" s="204">
        <v>1793435.77</v>
      </c>
      <c r="AM55" s="204">
        <v>717374.31</v>
      </c>
      <c r="AN55" s="204">
        <f t="shared" si="26"/>
        <v>1076061.46</v>
      </c>
      <c r="AO55" s="253">
        <v>44855</v>
      </c>
      <c r="AP55" s="204">
        <v>1435887.39</v>
      </c>
      <c r="AQ55" s="204">
        <v>574354.96</v>
      </c>
      <c r="AR55" s="204">
        <v>574354.96</v>
      </c>
      <c r="AS55" s="253">
        <v>44894</v>
      </c>
      <c r="AT55" s="204">
        <v>3837789.8</v>
      </c>
      <c r="AU55" s="204">
        <v>763611.67</v>
      </c>
      <c r="AV55" s="204">
        <f>AT55-AU55</f>
        <v>3074178.13</v>
      </c>
      <c r="AW55" s="253">
        <v>44907</v>
      </c>
      <c r="AX55" s="204">
        <v>168988.77</v>
      </c>
      <c r="AY55" s="204">
        <v>0</v>
      </c>
      <c r="AZ55" s="204">
        <f>AX55-AY55</f>
        <v>168988.77</v>
      </c>
      <c r="BA55" s="253">
        <v>44917</v>
      </c>
      <c r="BB55" s="204">
        <v>20669.099999999999</v>
      </c>
      <c r="BC55" s="204">
        <v>0</v>
      </c>
      <c r="BD55" s="204">
        <f>BB55-BC55</f>
        <v>20669.099999999999</v>
      </c>
      <c r="BE55" s="204"/>
      <c r="BF55" s="204"/>
      <c r="BG55" s="204"/>
      <c r="BH55" s="204"/>
      <c r="BI55" s="204"/>
      <c r="BJ55" s="204"/>
      <c r="BK55" s="204"/>
      <c r="BL55" s="204"/>
      <c r="BM55" s="204"/>
      <c r="BN55" s="204"/>
      <c r="BO55" s="204"/>
      <c r="BP55" s="204"/>
      <c r="BQ55" s="204"/>
      <c r="BR55" s="204"/>
      <c r="BS55" s="204"/>
      <c r="BT55" s="204"/>
      <c r="BU55" s="204"/>
      <c r="BV55" s="204"/>
      <c r="BW55" s="204"/>
      <c r="BX55" s="204"/>
      <c r="BY55" s="204"/>
      <c r="BZ55" s="204"/>
      <c r="CA55" s="204"/>
      <c r="CB55" s="204"/>
      <c r="CC55" s="204"/>
      <c r="CD55" s="204"/>
      <c r="CE55" s="204"/>
      <c r="CF55" s="204"/>
      <c r="CG55" s="204"/>
      <c r="CH55" s="204"/>
      <c r="CI55" s="204"/>
      <c r="CJ55" s="204"/>
      <c r="CK55" s="204"/>
      <c r="CL55" s="204"/>
      <c r="CM55" s="204"/>
      <c r="CN55" s="204"/>
      <c r="CO55" s="204"/>
      <c r="CP55" s="204"/>
      <c r="CQ55" s="204"/>
      <c r="CR55" s="204"/>
      <c r="CS55" s="204"/>
      <c r="CT55" s="204"/>
      <c r="CU55" s="204"/>
      <c r="CV55" s="204"/>
      <c r="CW55" s="204"/>
      <c r="CX55" s="204"/>
      <c r="CY55" s="204"/>
      <c r="CZ55" s="204"/>
      <c r="DA55" s="204"/>
      <c r="DB55" s="204"/>
      <c r="DC55" s="204"/>
      <c r="DD55" s="204"/>
      <c r="DE55" s="204"/>
      <c r="DF55" s="204"/>
      <c r="DG55" s="204"/>
      <c r="DH55" s="204"/>
      <c r="DI55" s="204"/>
      <c r="DJ55" s="204"/>
      <c r="DK55" s="204"/>
      <c r="DL55" s="204"/>
      <c r="DM55" s="204"/>
      <c r="DN55" s="204"/>
      <c r="DO55" s="204"/>
      <c r="DP55" s="204"/>
      <c r="DQ55" s="204"/>
      <c r="DR55" s="204"/>
      <c r="DS55" s="204"/>
      <c r="DT55" s="204"/>
      <c r="DU55" s="204"/>
      <c r="DV55" s="204"/>
      <c r="DW55" s="204"/>
      <c r="DX55" s="204"/>
      <c r="DY55" s="204"/>
      <c r="DZ55" s="204"/>
      <c r="EA55" s="204"/>
      <c r="EB55" s="204"/>
      <c r="EC55" s="204"/>
      <c r="ED55" s="204"/>
      <c r="EE55" s="204"/>
      <c r="EF55" s="204"/>
      <c r="EG55" s="204"/>
      <c r="EH55" s="250">
        <f t="shared" si="27"/>
        <v>11765584.999999998</v>
      </c>
      <c r="EI55" s="250">
        <f t="shared" si="18"/>
        <v>3590989.23</v>
      </c>
      <c r="EJ55" s="250">
        <f t="shared" si="18"/>
        <v>7887418.2999999989</v>
      </c>
      <c r="EK55" s="204">
        <f t="shared" si="10"/>
        <v>11765584.999999998</v>
      </c>
      <c r="EL55" s="352">
        <f t="shared" si="24"/>
        <v>0</v>
      </c>
      <c r="EM55" s="204">
        <f t="shared" si="12"/>
        <v>204379.10000000149</v>
      </c>
      <c r="EN55" s="204">
        <f t="shared" si="13"/>
        <v>3878166.6999999993</v>
      </c>
      <c r="EO55" s="204">
        <f t="shared" si="14"/>
        <v>204379.10000000149</v>
      </c>
      <c r="EP55" s="204"/>
      <c r="EQ55" s="55">
        <v>44743</v>
      </c>
      <c r="ER55" s="55">
        <v>44922</v>
      </c>
      <c r="ES55" s="18"/>
      <c r="ET55" s="18"/>
      <c r="EU55" s="18"/>
      <c r="EV55" s="18"/>
      <c r="EW55" s="18"/>
      <c r="EX55" s="18"/>
      <c r="EY55" s="331">
        <f t="shared" si="15"/>
        <v>0.98292567143121157</v>
      </c>
      <c r="EZ55" s="332">
        <v>1</v>
      </c>
      <c r="FA55" s="336"/>
      <c r="FB55" s="336">
        <f t="shared" si="16"/>
        <v>-1</v>
      </c>
      <c r="FC55" s="337">
        <f t="shared" si="25"/>
        <v>0.98292567143121157</v>
      </c>
      <c r="FD55" s="338" t="s">
        <v>147</v>
      </c>
      <c r="FE55" s="47" t="s">
        <v>178</v>
      </c>
      <c r="FF55" s="47"/>
      <c r="FG55" s="47" t="s">
        <v>154</v>
      </c>
      <c r="FH55" s="47" t="s">
        <v>146</v>
      </c>
      <c r="FI55" s="25">
        <v>6152</v>
      </c>
      <c r="FJ55" s="199" t="s">
        <v>1192</v>
      </c>
    </row>
    <row r="56" spans="1:166" ht="163.5" hidden="1" customHeight="1">
      <c r="A56" s="15"/>
      <c r="B56" s="5" t="s">
        <v>289</v>
      </c>
      <c r="C56" s="56" t="s">
        <v>893</v>
      </c>
      <c r="D56" s="125" t="s">
        <v>1111</v>
      </c>
      <c r="E56" s="125"/>
      <c r="F56" s="47">
        <v>121612</v>
      </c>
      <c r="G56" s="18" t="s">
        <v>262</v>
      </c>
      <c r="H56" s="19">
        <f>10200000-12799.73</f>
        <v>10187200.27</v>
      </c>
      <c r="I56" s="19">
        <v>10187200.27</v>
      </c>
      <c r="J56" s="18" t="s">
        <v>253</v>
      </c>
      <c r="K56" s="18" t="s">
        <v>770</v>
      </c>
      <c r="L56" s="18" t="s">
        <v>768</v>
      </c>
      <c r="M56" s="47" t="s">
        <v>769</v>
      </c>
      <c r="N56" s="18" t="s">
        <v>771</v>
      </c>
      <c r="O56" s="47">
        <v>7226884317</v>
      </c>
      <c r="P56" s="207" t="s">
        <v>767</v>
      </c>
      <c r="Q56" s="21"/>
      <c r="R56" s="22"/>
      <c r="S56" s="22"/>
      <c r="T56" s="22"/>
      <c r="U56" s="22"/>
      <c r="V56" s="48">
        <v>44760</v>
      </c>
      <c r="W56" s="48">
        <v>44762</v>
      </c>
      <c r="X56" s="23">
        <v>8782069.1999999993</v>
      </c>
      <c r="Y56" s="23">
        <f t="shared" si="4"/>
        <v>10187200.271999998</v>
      </c>
      <c r="Z56" s="23">
        <v>10187200.27</v>
      </c>
      <c r="AA56" s="204">
        <f t="shared" si="9"/>
        <v>0</v>
      </c>
      <c r="AB56" s="204">
        <v>0</v>
      </c>
      <c r="AC56" s="204">
        <v>0</v>
      </c>
      <c r="AD56" s="204">
        <v>1686566.97</v>
      </c>
      <c r="AE56" s="204">
        <v>0</v>
      </c>
      <c r="AF56" s="50">
        <f t="shared" si="5"/>
        <v>1686566.97</v>
      </c>
      <c r="AG56" s="253">
        <v>44833</v>
      </c>
      <c r="AH56" s="204">
        <v>2659963.02</v>
      </c>
      <c r="AI56" s="204">
        <v>0</v>
      </c>
      <c r="AJ56" s="204">
        <f t="shared" si="6"/>
        <v>2659963.02</v>
      </c>
      <c r="AK56" s="253">
        <v>44894</v>
      </c>
      <c r="AL56" s="50">
        <v>4821850.37</v>
      </c>
      <c r="AM56" s="254">
        <v>0</v>
      </c>
      <c r="AN56" s="204">
        <f t="shared" si="26"/>
        <v>4821850.37</v>
      </c>
      <c r="AO56" s="253">
        <v>44907</v>
      </c>
      <c r="AP56" s="204">
        <v>895254.42</v>
      </c>
      <c r="AQ56" s="204">
        <v>0</v>
      </c>
      <c r="AR56" s="204">
        <f t="shared" ref="AR56:AR73" si="28">AP56-AQ56</f>
        <v>895254.42</v>
      </c>
      <c r="AS56" s="312" t="s">
        <v>1292</v>
      </c>
      <c r="AT56" s="204"/>
      <c r="AU56" s="204"/>
      <c r="AV56" s="204"/>
      <c r="AW56" s="249"/>
      <c r="AX56" s="204"/>
      <c r="AY56" s="204"/>
      <c r="AZ56" s="204"/>
      <c r="BA56" s="204"/>
      <c r="BB56" s="204"/>
      <c r="BC56" s="204"/>
      <c r="BD56" s="204"/>
      <c r="BE56" s="204"/>
      <c r="BF56" s="204"/>
      <c r="BG56" s="204"/>
      <c r="BH56" s="204"/>
      <c r="BI56" s="204"/>
      <c r="BJ56" s="204"/>
      <c r="BK56" s="204"/>
      <c r="BL56" s="204"/>
      <c r="BM56" s="204"/>
      <c r="BN56" s="204"/>
      <c r="BO56" s="204"/>
      <c r="BP56" s="204"/>
      <c r="BQ56" s="204"/>
      <c r="BR56" s="204"/>
      <c r="BS56" s="204"/>
      <c r="BT56" s="204"/>
      <c r="BU56" s="204"/>
      <c r="BV56" s="204"/>
      <c r="BW56" s="204"/>
      <c r="BX56" s="204"/>
      <c r="BY56" s="204"/>
      <c r="BZ56" s="204"/>
      <c r="CA56" s="204"/>
      <c r="CB56" s="204"/>
      <c r="CC56" s="204"/>
      <c r="CD56" s="204"/>
      <c r="CE56" s="204"/>
      <c r="CF56" s="204"/>
      <c r="CG56" s="204"/>
      <c r="CH56" s="204"/>
      <c r="CI56" s="204"/>
      <c r="CJ56" s="204"/>
      <c r="CK56" s="204"/>
      <c r="CL56" s="204"/>
      <c r="CM56" s="204"/>
      <c r="CN56" s="204"/>
      <c r="CO56" s="204"/>
      <c r="CP56" s="204"/>
      <c r="CQ56" s="204"/>
      <c r="CR56" s="204"/>
      <c r="CS56" s="204"/>
      <c r="CT56" s="204"/>
      <c r="CU56" s="204"/>
      <c r="CV56" s="204"/>
      <c r="CW56" s="204"/>
      <c r="CX56" s="204"/>
      <c r="CY56" s="204"/>
      <c r="CZ56" s="204"/>
      <c r="DA56" s="204"/>
      <c r="DB56" s="204"/>
      <c r="DC56" s="204"/>
      <c r="DD56" s="204"/>
      <c r="DE56" s="204"/>
      <c r="DF56" s="204"/>
      <c r="DG56" s="204"/>
      <c r="DH56" s="204"/>
      <c r="DI56" s="204"/>
      <c r="DJ56" s="204"/>
      <c r="DK56" s="204"/>
      <c r="DL56" s="204"/>
      <c r="DM56" s="204"/>
      <c r="DN56" s="204"/>
      <c r="DO56" s="204"/>
      <c r="DP56" s="204"/>
      <c r="DQ56" s="204"/>
      <c r="DR56" s="204"/>
      <c r="DS56" s="204"/>
      <c r="DT56" s="204"/>
      <c r="DU56" s="204"/>
      <c r="DV56" s="204"/>
      <c r="DW56" s="204"/>
      <c r="DX56" s="204"/>
      <c r="DY56" s="204"/>
      <c r="DZ56" s="204"/>
      <c r="EA56" s="204"/>
      <c r="EB56" s="204"/>
      <c r="EC56" s="204"/>
      <c r="ED56" s="204"/>
      <c r="EE56" s="204"/>
      <c r="EF56" s="204"/>
      <c r="EG56" s="204"/>
      <c r="EH56" s="250">
        <f t="shared" si="27"/>
        <v>10063634.779999999</v>
      </c>
      <c r="EI56" s="250">
        <f t="shared" si="18"/>
        <v>0</v>
      </c>
      <c r="EJ56" s="250">
        <f t="shared" si="18"/>
        <v>10063634.779999999</v>
      </c>
      <c r="EK56" s="204">
        <f t="shared" si="10"/>
        <v>10063634.779999999</v>
      </c>
      <c r="EL56" s="204">
        <f t="shared" si="24"/>
        <v>0</v>
      </c>
      <c r="EM56" s="204">
        <f t="shared" si="12"/>
        <v>123565.49000000022</v>
      </c>
      <c r="EN56" s="204">
        <f t="shared" si="13"/>
        <v>0</v>
      </c>
      <c r="EO56" s="204">
        <f t="shared" si="14"/>
        <v>123565.49000000022</v>
      </c>
      <c r="EP56" s="204"/>
      <c r="EQ56" s="55">
        <v>44763</v>
      </c>
      <c r="ER56" s="55">
        <v>44910</v>
      </c>
      <c r="ES56" s="18"/>
      <c r="ET56" s="47" t="s">
        <v>1220</v>
      </c>
      <c r="EU56" s="18"/>
      <c r="EV56" s="18"/>
      <c r="EW56" s="18"/>
      <c r="EX56" s="47" t="s">
        <v>1353</v>
      </c>
      <c r="EY56" s="331">
        <f t="shared" si="15"/>
        <v>0.98787051528142777</v>
      </c>
      <c r="EZ56" s="332">
        <v>1</v>
      </c>
      <c r="FA56" s="336"/>
      <c r="FB56" s="336">
        <f t="shared" si="16"/>
        <v>-1</v>
      </c>
      <c r="FC56" s="337">
        <f t="shared" si="25"/>
        <v>0.98787051528142777</v>
      </c>
      <c r="FD56" s="338" t="s">
        <v>147</v>
      </c>
      <c r="FE56" s="47" t="s">
        <v>178</v>
      </c>
      <c r="FF56" s="47"/>
      <c r="FG56" s="47" t="s">
        <v>138</v>
      </c>
      <c r="FH56" s="47" t="s">
        <v>148</v>
      </c>
      <c r="FI56" s="25">
        <v>4000</v>
      </c>
      <c r="FJ56" s="199" t="s">
        <v>1293</v>
      </c>
    </row>
    <row r="57" spans="1:166" ht="135.75" hidden="1" customHeight="1">
      <c r="A57" s="15"/>
      <c r="B57" s="5" t="s">
        <v>289</v>
      </c>
      <c r="C57" s="16"/>
      <c r="D57" s="125" t="s">
        <v>1111</v>
      </c>
      <c r="E57" s="125"/>
      <c r="F57" s="47">
        <v>121613</v>
      </c>
      <c r="G57" s="18" t="s">
        <v>672</v>
      </c>
      <c r="H57" s="19">
        <f>15000000-15000000</f>
        <v>0</v>
      </c>
      <c r="I57" s="19">
        <v>0</v>
      </c>
      <c r="J57" s="18" t="s">
        <v>253</v>
      </c>
      <c r="K57" s="18"/>
      <c r="L57" s="18"/>
      <c r="M57" s="47"/>
      <c r="N57" s="18"/>
      <c r="O57" s="47"/>
      <c r="P57" s="20"/>
      <c r="Q57" s="21"/>
      <c r="R57" s="22"/>
      <c r="S57" s="22"/>
      <c r="T57" s="22"/>
      <c r="U57" s="22"/>
      <c r="V57" s="48"/>
      <c r="W57" s="48"/>
      <c r="X57" s="23"/>
      <c r="Y57" s="23">
        <f t="shared" si="4"/>
        <v>0</v>
      </c>
      <c r="Z57" s="23"/>
      <c r="AA57" s="204">
        <f t="shared" si="9"/>
        <v>0</v>
      </c>
      <c r="AB57" s="204"/>
      <c r="AC57" s="204"/>
      <c r="AD57" s="204"/>
      <c r="AE57" s="204"/>
      <c r="AF57" s="50">
        <f t="shared" si="5"/>
        <v>0</v>
      </c>
      <c r="AG57" s="253"/>
      <c r="AH57" s="204"/>
      <c r="AI57" s="204"/>
      <c r="AJ57" s="204">
        <f t="shared" si="6"/>
        <v>0</v>
      </c>
      <c r="AK57" s="253"/>
      <c r="AL57" s="50"/>
      <c r="AM57" s="254"/>
      <c r="AN57" s="204">
        <f t="shared" si="26"/>
        <v>0</v>
      </c>
      <c r="AO57" s="253"/>
      <c r="AP57" s="204"/>
      <c r="AQ57" s="204"/>
      <c r="AR57" s="204">
        <f t="shared" si="28"/>
        <v>0</v>
      </c>
      <c r="AS57" s="253"/>
      <c r="AT57" s="204"/>
      <c r="AU57" s="204"/>
      <c r="AV57" s="204"/>
      <c r="AW57" s="249"/>
      <c r="AX57" s="204"/>
      <c r="AY57" s="204"/>
      <c r="AZ57" s="204"/>
      <c r="BA57" s="204"/>
      <c r="BB57" s="204"/>
      <c r="BC57" s="204"/>
      <c r="BD57" s="204"/>
      <c r="BE57" s="204"/>
      <c r="BF57" s="204"/>
      <c r="BG57" s="204"/>
      <c r="BH57" s="204"/>
      <c r="BI57" s="204"/>
      <c r="BJ57" s="204"/>
      <c r="BK57" s="204"/>
      <c r="BL57" s="204"/>
      <c r="BM57" s="204"/>
      <c r="BN57" s="204"/>
      <c r="BO57" s="204"/>
      <c r="BP57" s="204"/>
      <c r="BQ57" s="204"/>
      <c r="BR57" s="204"/>
      <c r="BS57" s="204"/>
      <c r="BT57" s="204"/>
      <c r="BU57" s="204"/>
      <c r="BV57" s="204"/>
      <c r="BW57" s="204"/>
      <c r="BX57" s="204"/>
      <c r="BY57" s="204"/>
      <c r="BZ57" s="204"/>
      <c r="CA57" s="204"/>
      <c r="CB57" s="204"/>
      <c r="CC57" s="204"/>
      <c r="CD57" s="204"/>
      <c r="CE57" s="204"/>
      <c r="CF57" s="204"/>
      <c r="CG57" s="204"/>
      <c r="CH57" s="204"/>
      <c r="CI57" s="204"/>
      <c r="CJ57" s="204"/>
      <c r="CK57" s="204"/>
      <c r="CL57" s="204"/>
      <c r="CM57" s="204"/>
      <c r="CN57" s="204"/>
      <c r="CO57" s="204"/>
      <c r="CP57" s="204"/>
      <c r="CQ57" s="204"/>
      <c r="CR57" s="204"/>
      <c r="CS57" s="204"/>
      <c r="CT57" s="204"/>
      <c r="CU57" s="204"/>
      <c r="CV57" s="204"/>
      <c r="CW57" s="204"/>
      <c r="CX57" s="204"/>
      <c r="CY57" s="204"/>
      <c r="CZ57" s="204"/>
      <c r="DA57" s="204"/>
      <c r="DB57" s="204"/>
      <c r="DC57" s="204"/>
      <c r="DD57" s="204"/>
      <c r="DE57" s="204"/>
      <c r="DF57" s="204"/>
      <c r="DG57" s="204"/>
      <c r="DH57" s="204"/>
      <c r="DI57" s="204"/>
      <c r="DJ57" s="204"/>
      <c r="DK57" s="204"/>
      <c r="DL57" s="204"/>
      <c r="DM57" s="204"/>
      <c r="DN57" s="204"/>
      <c r="DO57" s="204"/>
      <c r="DP57" s="204"/>
      <c r="DQ57" s="204"/>
      <c r="DR57" s="204"/>
      <c r="DS57" s="204"/>
      <c r="DT57" s="204"/>
      <c r="DU57" s="204"/>
      <c r="DV57" s="204"/>
      <c r="DW57" s="204"/>
      <c r="DX57" s="204"/>
      <c r="DY57" s="204"/>
      <c r="DZ57" s="204"/>
      <c r="EA57" s="204"/>
      <c r="EB57" s="204"/>
      <c r="EC57" s="204"/>
      <c r="ED57" s="204"/>
      <c r="EE57" s="204"/>
      <c r="EF57" s="204"/>
      <c r="EG57" s="204"/>
      <c r="EH57" s="250">
        <f t="shared" si="27"/>
        <v>0</v>
      </c>
      <c r="EI57" s="250">
        <f t="shared" si="18"/>
        <v>0</v>
      </c>
      <c r="EJ57" s="250">
        <f t="shared" si="18"/>
        <v>0</v>
      </c>
      <c r="EK57" s="204">
        <f t="shared" si="10"/>
        <v>0</v>
      </c>
      <c r="EL57" s="204">
        <f t="shared" si="24"/>
        <v>0</v>
      </c>
      <c r="EM57" s="204">
        <f t="shared" si="12"/>
        <v>0</v>
      </c>
      <c r="EN57" s="204">
        <f t="shared" si="13"/>
        <v>0</v>
      </c>
      <c r="EO57" s="204">
        <f t="shared" si="14"/>
        <v>0</v>
      </c>
      <c r="EP57" s="204"/>
      <c r="EQ57" s="55"/>
      <c r="ER57" s="55"/>
      <c r="ES57" s="18"/>
      <c r="ET57" s="18"/>
      <c r="EU57" s="18"/>
      <c r="EV57" s="18"/>
      <c r="EW57" s="18"/>
      <c r="EX57" s="18"/>
      <c r="EY57" s="331" t="e">
        <f t="shared" si="15"/>
        <v>#DIV/0!</v>
      </c>
      <c r="EZ57" s="332">
        <v>0</v>
      </c>
      <c r="FA57" s="336"/>
      <c r="FB57" s="336">
        <f t="shared" si="16"/>
        <v>0</v>
      </c>
      <c r="FC57" s="337" t="e">
        <f t="shared" si="25"/>
        <v>#DIV/0!</v>
      </c>
      <c r="FD57" s="338" t="s">
        <v>72</v>
      </c>
      <c r="FE57" s="47" t="s">
        <v>263</v>
      </c>
      <c r="FF57" s="47"/>
      <c r="FG57" s="47" t="s">
        <v>159</v>
      </c>
      <c r="FH57" s="47" t="s">
        <v>146</v>
      </c>
      <c r="FI57" s="25"/>
      <c r="FJ57" s="199" t="s">
        <v>669</v>
      </c>
    </row>
    <row r="58" spans="1:166" ht="135.75" hidden="1" customHeight="1">
      <c r="A58" s="15"/>
      <c r="B58" s="5" t="s">
        <v>289</v>
      </c>
      <c r="C58" s="56" t="s">
        <v>907</v>
      </c>
      <c r="D58" s="125" t="s">
        <v>1111</v>
      </c>
      <c r="E58" s="125"/>
      <c r="F58" s="47">
        <v>121617</v>
      </c>
      <c r="G58" s="18" t="s">
        <v>264</v>
      </c>
      <c r="H58" s="19">
        <f>10000000-125551.47</f>
        <v>9874448.5299999993</v>
      </c>
      <c r="I58" s="19">
        <v>9987448.5299999993</v>
      </c>
      <c r="J58" s="18" t="s">
        <v>253</v>
      </c>
      <c r="K58" s="18" t="s">
        <v>772</v>
      </c>
      <c r="L58" s="18" t="s">
        <v>773</v>
      </c>
      <c r="M58" s="47" t="s">
        <v>175</v>
      </c>
      <c r="N58" s="18" t="s">
        <v>176</v>
      </c>
      <c r="O58" s="47">
        <v>7222759965</v>
      </c>
      <c r="P58" s="207" t="s">
        <v>774</v>
      </c>
      <c r="Q58" s="21"/>
      <c r="R58" s="22"/>
      <c r="S58" s="22"/>
      <c r="T58" s="22"/>
      <c r="U58" s="22"/>
      <c r="V58" s="48">
        <v>44761</v>
      </c>
      <c r="W58" s="48">
        <v>44763</v>
      </c>
      <c r="X58" s="23">
        <v>8609869.4199999999</v>
      </c>
      <c r="Y58" s="23">
        <f t="shared" si="4"/>
        <v>9987448.5271999985</v>
      </c>
      <c r="Z58" s="23">
        <v>9987448.5299999993</v>
      </c>
      <c r="AA58" s="204">
        <f t="shared" si="9"/>
        <v>-113000</v>
      </c>
      <c r="AB58" s="204">
        <v>2996234.56</v>
      </c>
      <c r="AC58" s="204">
        <v>2996234.56</v>
      </c>
      <c r="AD58" s="204">
        <v>1319040.57</v>
      </c>
      <c r="AE58" s="204">
        <v>898870.37</v>
      </c>
      <c r="AF58" s="50">
        <f t="shared" si="5"/>
        <v>420170.20000000007</v>
      </c>
      <c r="AG58" s="253">
        <v>44812</v>
      </c>
      <c r="AH58" s="204">
        <v>2858611.85</v>
      </c>
      <c r="AI58" s="204">
        <v>857583.56</v>
      </c>
      <c r="AJ58" s="204">
        <f t="shared" si="6"/>
        <v>2001028.29</v>
      </c>
      <c r="AK58" s="253"/>
      <c r="AL58" s="204">
        <v>3055496.63</v>
      </c>
      <c r="AM58" s="204">
        <v>916648.99</v>
      </c>
      <c r="AN58" s="204">
        <f t="shared" si="26"/>
        <v>2138847.6399999997</v>
      </c>
      <c r="AO58" s="253">
        <v>44902</v>
      </c>
      <c r="AP58" s="204">
        <v>2751831.66</v>
      </c>
      <c r="AQ58" s="204">
        <v>323131.64</v>
      </c>
      <c r="AR58" s="204">
        <f t="shared" si="28"/>
        <v>2428700.02</v>
      </c>
      <c r="AS58" s="253">
        <v>44907</v>
      </c>
      <c r="AT58" s="204">
        <v>0</v>
      </c>
      <c r="AU58" s="204">
        <v>0</v>
      </c>
      <c r="AV58" s="204">
        <f>AT58-AU58</f>
        <v>0</v>
      </c>
      <c r="AW58" s="249" t="s">
        <v>1263</v>
      </c>
      <c r="AX58" s="204"/>
      <c r="AY58" s="204"/>
      <c r="AZ58" s="204"/>
      <c r="BA58" s="204"/>
      <c r="BB58" s="204"/>
      <c r="BC58" s="204"/>
      <c r="BD58" s="204"/>
      <c r="BE58" s="204"/>
      <c r="BF58" s="204"/>
      <c r="BG58" s="204"/>
      <c r="BH58" s="204"/>
      <c r="BI58" s="204"/>
      <c r="BJ58" s="204"/>
      <c r="BK58" s="204"/>
      <c r="BL58" s="204"/>
      <c r="BM58" s="204"/>
      <c r="BN58" s="204"/>
      <c r="BO58" s="204"/>
      <c r="BP58" s="204"/>
      <c r="BQ58" s="204"/>
      <c r="BR58" s="204"/>
      <c r="BS58" s="204"/>
      <c r="BT58" s="204"/>
      <c r="BU58" s="204"/>
      <c r="BV58" s="204"/>
      <c r="BW58" s="204"/>
      <c r="BX58" s="204"/>
      <c r="BY58" s="204"/>
      <c r="BZ58" s="204"/>
      <c r="CA58" s="204"/>
      <c r="CB58" s="204"/>
      <c r="CC58" s="204"/>
      <c r="CD58" s="204"/>
      <c r="CE58" s="204"/>
      <c r="CF58" s="204"/>
      <c r="CG58" s="204"/>
      <c r="CH58" s="204"/>
      <c r="CI58" s="204"/>
      <c r="CJ58" s="204"/>
      <c r="CK58" s="204"/>
      <c r="CL58" s="204"/>
      <c r="CM58" s="204"/>
      <c r="CN58" s="204"/>
      <c r="CO58" s="204"/>
      <c r="CP58" s="204"/>
      <c r="CQ58" s="204"/>
      <c r="CR58" s="204"/>
      <c r="CS58" s="204"/>
      <c r="CT58" s="204"/>
      <c r="CU58" s="204"/>
      <c r="CV58" s="204"/>
      <c r="CW58" s="204"/>
      <c r="CX58" s="204"/>
      <c r="CY58" s="204"/>
      <c r="CZ58" s="204"/>
      <c r="DA58" s="204"/>
      <c r="DB58" s="204"/>
      <c r="DC58" s="204"/>
      <c r="DD58" s="204"/>
      <c r="DE58" s="204"/>
      <c r="DF58" s="204"/>
      <c r="DG58" s="204"/>
      <c r="DH58" s="204"/>
      <c r="DI58" s="204"/>
      <c r="DJ58" s="204"/>
      <c r="DK58" s="204"/>
      <c r="DL58" s="204"/>
      <c r="DM58" s="204"/>
      <c r="DN58" s="204"/>
      <c r="DO58" s="204"/>
      <c r="DP58" s="204"/>
      <c r="DQ58" s="204"/>
      <c r="DR58" s="204"/>
      <c r="DS58" s="204"/>
      <c r="DT58" s="204"/>
      <c r="DU58" s="204"/>
      <c r="DV58" s="204"/>
      <c r="DW58" s="204"/>
      <c r="DX58" s="204"/>
      <c r="DY58" s="204"/>
      <c r="DZ58" s="204"/>
      <c r="EA58" s="204"/>
      <c r="EB58" s="204"/>
      <c r="EC58" s="204"/>
      <c r="ED58" s="204"/>
      <c r="EE58" s="204"/>
      <c r="EF58" s="204"/>
      <c r="EG58" s="204"/>
      <c r="EH58" s="250">
        <f t="shared" si="27"/>
        <v>9984980.7100000009</v>
      </c>
      <c r="EI58" s="250">
        <f t="shared" si="18"/>
        <v>2996234.56</v>
      </c>
      <c r="EJ58" s="250">
        <f t="shared" si="18"/>
        <v>6988746.1500000004</v>
      </c>
      <c r="EK58" s="204">
        <f t="shared" si="10"/>
        <v>9984980.7100000009</v>
      </c>
      <c r="EL58" s="204">
        <f t="shared" si="24"/>
        <v>0</v>
      </c>
      <c r="EM58" s="204">
        <f t="shared" si="12"/>
        <v>2467.8199999984354</v>
      </c>
      <c r="EN58" s="204">
        <f t="shared" si="13"/>
        <v>2996234.5600000005</v>
      </c>
      <c r="EO58" s="204">
        <f t="shared" si="14"/>
        <v>-110532.18000000156</v>
      </c>
      <c r="EP58" s="204"/>
      <c r="EQ58" s="55">
        <v>44764</v>
      </c>
      <c r="ER58" s="55">
        <v>44910</v>
      </c>
      <c r="ES58" s="18"/>
      <c r="ET58" s="18"/>
      <c r="EU58" s="18"/>
      <c r="EV58" s="18"/>
      <c r="EW58" s="18"/>
      <c r="EX58" s="47" t="s">
        <v>1354</v>
      </c>
      <c r="EY58" s="331">
        <f t="shared" si="15"/>
        <v>0.99975290786304571</v>
      </c>
      <c r="EZ58" s="332">
        <v>1</v>
      </c>
      <c r="FA58" s="336"/>
      <c r="FB58" s="336">
        <f t="shared" si="16"/>
        <v>-1</v>
      </c>
      <c r="FC58" s="337">
        <f t="shared" si="25"/>
        <v>0.99975290786304571</v>
      </c>
      <c r="FD58" s="338" t="s">
        <v>147</v>
      </c>
      <c r="FE58" s="47" t="s">
        <v>265</v>
      </c>
      <c r="FF58" s="47"/>
      <c r="FG58" s="47" t="s">
        <v>150</v>
      </c>
      <c r="FH58" s="47" t="s">
        <v>146</v>
      </c>
      <c r="FI58" s="25">
        <v>1795</v>
      </c>
      <c r="FJ58" s="199" t="s">
        <v>1264</v>
      </c>
    </row>
    <row r="59" spans="1:166" ht="231" hidden="1" customHeight="1">
      <c r="A59" s="15"/>
      <c r="B59" s="5" t="s">
        <v>1084</v>
      </c>
      <c r="C59" s="56" t="s">
        <v>907</v>
      </c>
      <c r="D59" s="17"/>
      <c r="E59" s="17"/>
      <c r="F59" s="47">
        <v>121618</v>
      </c>
      <c r="G59" s="18" t="s">
        <v>266</v>
      </c>
      <c r="H59" s="19">
        <f>17000000+1992818.93</f>
        <v>18992818.93</v>
      </c>
      <c r="I59" s="19">
        <v>16992818.93</v>
      </c>
      <c r="J59" s="18" t="s">
        <v>253</v>
      </c>
      <c r="K59" s="18" t="s">
        <v>784</v>
      </c>
      <c r="L59" s="18" t="s">
        <v>196</v>
      </c>
      <c r="M59" s="47" t="s">
        <v>197</v>
      </c>
      <c r="N59" s="18" t="s">
        <v>785</v>
      </c>
      <c r="O59" s="47">
        <v>7222741437</v>
      </c>
      <c r="P59" s="207" t="s">
        <v>848</v>
      </c>
      <c r="Q59" s="21"/>
      <c r="R59" s="22"/>
      <c r="S59" s="22"/>
      <c r="T59" s="22"/>
      <c r="U59" s="22"/>
      <c r="V59" s="48">
        <v>44764</v>
      </c>
      <c r="W59" s="48">
        <v>44767</v>
      </c>
      <c r="X59" s="23">
        <f>14648981.84+1724137.93</f>
        <v>16373119.77</v>
      </c>
      <c r="Y59" s="23">
        <f t="shared" si="4"/>
        <v>18992818.933199998</v>
      </c>
      <c r="Z59" s="23">
        <v>18992818.93</v>
      </c>
      <c r="AA59" s="204">
        <f t="shared" si="9"/>
        <v>0</v>
      </c>
      <c r="AB59" s="204">
        <v>5097845.68</v>
      </c>
      <c r="AC59" s="204">
        <v>5097845.68</v>
      </c>
      <c r="AD59" s="204">
        <v>1658202.83</v>
      </c>
      <c r="AE59" s="204">
        <v>497460.85</v>
      </c>
      <c r="AF59" s="50">
        <f t="shared" si="5"/>
        <v>1160741.98</v>
      </c>
      <c r="AG59" s="253">
        <v>44797</v>
      </c>
      <c r="AH59" s="204">
        <v>1358739.47</v>
      </c>
      <c r="AI59" s="204">
        <v>407621.84</v>
      </c>
      <c r="AJ59" s="204">
        <f t="shared" si="6"/>
        <v>951117.62999999989</v>
      </c>
      <c r="AK59" s="253">
        <v>44826</v>
      </c>
      <c r="AL59" s="50">
        <v>1465512.68</v>
      </c>
      <c r="AM59" s="50">
        <v>439653.8</v>
      </c>
      <c r="AN59" s="204">
        <f t="shared" si="26"/>
        <v>1025858.8799999999</v>
      </c>
      <c r="AO59" s="253">
        <v>44860</v>
      </c>
      <c r="AP59" s="50">
        <v>1700539.53</v>
      </c>
      <c r="AQ59" s="50">
        <v>510161.86</v>
      </c>
      <c r="AR59" s="204">
        <f t="shared" si="28"/>
        <v>1190377.67</v>
      </c>
      <c r="AS59" s="253">
        <v>44889</v>
      </c>
      <c r="AT59" s="204">
        <v>1336471.17</v>
      </c>
      <c r="AU59" s="204">
        <v>400941.35</v>
      </c>
      <c r="AV59" s="204">
        <f>AT59-AU59</f>
        <v>935529.82</v>
      </c>
      <c r="AW59" s="253">
        <v>44894</v>
      </c>
      <c r="AX59" s="204">
        <v>3143955.68</v>
      </c>
      <c r="AY59" s="204">
        <v>943186.7</v>
      </c>
      <c r="AZ59" s="204">
        <f>AX59-AY59</f>
        <v>2200768.9800000004</v>
      </c>
      <c r="BA59" s="253">
        <v>44902</v>
      </c>
      <c r="BB59" s="204">
        <v>1869822.37</v>
      </c>
      <c r="BC59" s="204">
        <v>560946.71</v>
      </c>
      <c r="BD59" s="204">
        <f>BB59-BC59</f>
        <v>1308875.6600000001</v>
      </c>
      <c r="BE59" s="253">
        <v>44902</v>
      </c>
      <c r="BF59" s="204">
        <v>1843760.56</v>
      </c>
      <c r="BG59" s="204">
        <v>553128.17000000004</v>
      </c>
      <c r="BH59" s="204">
        <f>BF59-BG59</f>
        <v>1290632.3900000001</v>
      </c>
      <c r="BI59" s="253">
        <v>44902</v>
      </c>
      <c r="BJ59" s="23">
        <v>343483.35</v>
      </c>
      <c r="BK59" s="23">
        <v>103045</v>
      </c>
      <c r="BL59" s="204">
        <f>BJ59-BK59</f>
        <v>240438.34999999998</v>
      </c>
      <c r="BM59" s="253">
        <v>44970</v>
      </c>
      <c r="BN59" s="204">
        <v>203641.64</v>
      </c>
      <c r="BO59" s="204">
        <v>61092.49</v>
      </c>
      <c r="BP59" s="204">
        <f>BN59-BO59</f>
        <v>142549.15000000002</v>
      </c>
      <c r="BQ59" s="253">
        <v>44970</v>
      </c>
      <c r="BR59" s="204">
        <v>300823.3</v>
      </c>
      <c r="BS59" s="204">
        <v>90246.99</v>
      </c>
      <c r="BT59" s="204">
        <f>BR59-BS59</f>
        <v>210576.31</v>
      </c>
      <c r="BU59" s="253">
        <v>44970</v>
      </c>
      <c r="BV59" s="204">
        <v>577635.56999999995</v>
      </c>
      <c r="BW59" s="204">
        <v>173290.67</v>
      </c>
      <c r="BX59" s="204">
        <f>BV59-BW59</f>
        <v>404344.89999999991</v>
      </c>
      <c r="BY59" s="253">
        <v>44993</v>
      </c>
      <c r="BZ59" s="204">
        <v>681077.38</v>
      </c>
      <c r="CA59" s="204">
        <v>204323.21</v>
      </c>
      <c r="CB59" s="204">
        <f>BZ59-CA59</f>
        <v>476754.17000000004</v>
      </c>
      <c r="CC59" s="253">
        <v>44993</v>
      </c>
      <c r="CD59" s="204">
        <v>228742.7</v>
      </c>
      <c r="CE59" s="204">
        <v>68622.81</v>
      </c>
      <c r="CF59" s="204">
        <f>CD59-CE59</f>
        <v>160119.89000000001</v>
      </c>
      <c r="CG59" s="253">
        <v>44993</v>
      </c>
      <c r="CH59" s="204">
        <v>280375.62</v>
      </c>
      <c r="CI59" s="204">
        <v>84123.22</v>
      </c>
      <c r="CJ59" s="204">
        <f>CH59-CI59</f>
        <v>196252.4</v>
      </c>
      <c r="CK59" s="253">
        <v>45001</v>
      </c>
      <c r="CL59" s="23">
        <v>1547283.62</v>
      </c>
      <c r="CM59" s="204">
        <v>0</v>
      </c>
      <c r="CN59" s="204">
        <f>CL59-CM59</f>
        <v>1547283.62</v>
      </c>
      <c r="CO59" s="312" t="s">
        <v>1260</v>
      </c>
      <c r="CP59" s="204">
        <v>452690.85</v>
      </c>
      <c r="CQ59" s="204">
        <v>0</v>
      </c>
      <c r="CR59" s="204">
        <f>CP59-CQ59</f>
        <v>452690.85</v>
      </c>
      <c r="CS59" s="204" t="s">
        <v>1268</v>
      </c>
      <c r="CT59" s="23">
        <v>0</v>
      </c>
      <c r="CU59" s="23">
        <v>0</v>
      </c>
      <c r="CV59" s="23">
        <f>CT59-CU59</f>
        <v>0</v>
      </c>
      <c r="CW59" s="204" t="s">
        <v>305</v>
      </c>
      <c r="CX59" s="204">
        <v>0</v>
      </c>
      <c r="CY59" s="204">
        <v>0</v>
      </c>
      <c r="CZ59" s="204">
        <f>CX59-CY59</f>
        <v>0</v>
      </c>
      <c r="DA59" s="204" t="s">
        <v>1338</v>
      </c>
      <c r="DB59" s="204"/>
      <c r="DC59" s="204"/>
      <c r="DD59" s="204"/>
      <c r="DE59" s="204"/>
      <c r="DF59" s="204"/>
      <c r="DG59" s="204"/>
      <c r="DH59" s="204"/>
      <c r="DI59" s="204"/>
      <c r="DJ59" s="204"/>
      <c r="DK59" s="204"/>
      <c r="DL59" s="204"/>
      <c r="DM59" s="204"/>
      <c r="DN59" s="204"/>
      <c r="DO59" s="204"/>
      <c r="DP59" s="204"/>
      <c r="DQ59" s="204"/>
      <c r="DR59" s="204"/>
      <c r="DS59" s="204"/>
      <c r="DT59" s="204"/>
      <c r="DU59" s="204"/>
      <c r="DV59" s="204"/>
      <c r="DW59" s="204"/>
      <c r="DX59" s="204"/>
      <c r="DY59" s="204"/>
      <c r="DZ59" s="204"/>
      <c r="EA59" s="204"/>
      <c r="EB59" s="204"/>
      <c r="EC59" s="204"/>
      <c r="ED59" s="204"/>
      <c r="EE59" s="204"/>
      <c r="EF59" s="204"/>
      <c r="EG59" s="204"/>
      <c r="EH59" s="250" t="e">
        <f t="shared" si="27"/>
        <v>#VALUE!</v>
      </c>
      <c r="EI59" s="250">
        <f t="shared" si="18"/>
        <v>5097845.67</v>
      </c>
      <c r="EJ59" s="250">
        <f t="shared" si="18"/>
        <v>13894912.650000004</v>
      </c>
      <c r="EK59" s="204" t="e">
        <f t="shared" si="10"/>
        <v>#VALUE!</v>
      </c>
      <c r="EL59" s="204">
        <f t="shared" si="24"/>
        <v>9.9999997764825821E-3</v>
      </c>
      <c r="EM59" s="204" t="e">
        <f t="shared" si="12"/>
        <v>#VALUE!</v>
      </c>
      <c r="EN59" s="204" t="e">
        <f t="shared" si="13"/>
        <v>#VALUE!</v>
      </c>
      <c r="EO59" s="204" t="e">
        <f t="shared" si="14"/>
        <v>#VALUE!</v>
      </c>
      <c r="EP59" s="204"/>
      <c r="EQ59" s="55">
        <v>44768</v>
      </c>
      <c r="ER59" s="55">
        <v>44910</v>
      </c>
      <c r="ES59" s="355">
        <v>2000000</v>
      </c>
      <c r="ET59" s="47" t="s">
        <v>1180</v>
      </c>
      <c r="EU59" s="47" t="s">
        <v>1187</v>
      </c>
      <c r="EV59" s="18"/>
      <c r="EW59" s="18"/>
      <c r="EX59" s="18"/>
      <c r="EY59" s="331" t="e">
        <f t="shared" si="15"/>
        <v>#VALUE!</v>
      </c>
      <c r="EZ59" s="332">
        <v>1</v>
      </c>
      <c r="FA59" s="336"/>
      <c r="FB59" s="336">
        <f t="shared" si="16"/>
        <v>-1</v>
      </c>
      <c r="FC59" s="337" t="e">
        <f t="shared" si="25"/>
        <v>#VALUE!</v>
      </c>
      <c r="FD59" s="338" t="s">
        <v>147</v>
      </c>
      <c r="FE59" s="47" t="s">
        <v>267</v>
      </c>
      <c r="FF59" s="47"/>
      <c r="FG59" s="47" t="s">
        <v>177</v>
      </c>
      <c r="FH59" s="47" t="s">
        <v>146</v>
      </c>
      <c r="FI59" s="25">
        <v>1551</v>
      </c>
      <c r="FJ59" s="199" t="s">
        <v>1209</v>
      </c>
    </row>
    <row r="60" spans="1:166" ht="135.75" hidden="1" customHeight="1">
      <c r="A60" s="15"/>
      <c r="B60" s="5" t="s">
        <v>289</v>
      </c>
      <c r="C60" s="56" t="s">
        <v>957</v>
      </c>
      <c r="D60" s="125" t="s">
        <v>1111</v>
      </c>
      <c r="E60" s="125"/>
      <c r="F60" s="47">
        <v>121624</v>
      </c>
      <c r="G60" s="18" t="s">
        <v>268</v>
      </c>
      <c r="H60" s="19">
        <f>30000000-6145.73</f>
        <v>29993854.27</v>
      </c>
      <c r="I60" s="19">
        <v>29993854.27</v>
      </c>
      <c r="J60" s="18" t="s">
        <v>253</v>
      </c>
      <c r="K60" s="18" t="s">
        <v>776</v>
      </c>
      <c r="L60" s="18" t="s">
        <v>777</v>
      </c>
      <c r="M60" s="47" t="s">
        <v>778</v>
      </c>
      <c r="N60" s="18" t="s">
        <v>779</v>
      </c>
      <c r="O60" s="47">
        <v>7225446810</v>
      </c>
      <c r="P60" s="20" t="s">
        <v>838</v>
      </c>
      <c r="Q60" s="21"/>
      <c r="R60" s="22"/>
      <c r="S60" s="22"/>
      <c r="T60" s="22"/>
      <c r="U60" s="22"/>
      <c r="V60" s="48">
        <v>44760</v>
      </c>
      <c r="W60" s="48">
        <v>44762</v>
      </c>
      <c r="X60" s="23">
        <v>25856770.920000002</v>
      </c>
      <c r="Y60" s="23">
        <f t="shared" si="4"/>
        <v>29993854.267200001</v>
      </c>
      <c r="Z60" s="23">
        <v>29993854.27</v>
      </c>
      <c r="AA60" s="204">
        <f t="shared" si="9"/>
        <v>0</v>
      </c>
      <c r="AB60" s="204">
        <v>0</v>
      </c>
      <c r="AC60" s="204">
        <v>0</v>
      </c>
      <c r="AD60" s="204">
        <v>1623833.59</v>
      </c>
      <c r="AE60" s="204">
        <v>0</v>
      </c>
      <c r="AF60" s="50">
        <f t="shared" si="5"/>
        <v>1623833.59</v>
      </c>
      <c r="AG60" s="253">
        <v>44798</v>
      </c>
      <c r="AH60" s="204">
        <v>4305767.41</v>
      </c>
      <c r="AI60" s="204">
        <v>0</v>
      </c>
      <c r="AJ60" s="204">
        <f t="shared" si="6"/>
        <v>4305767.41</v>
      </c>
      <c r="AK60" s="253">
        <v>44890</v>
      </c>
      <c r="AL60" s="50">
        <v>6512968.2699999996</v>
      </c>
      <c r="AM60" s="254">
        <v>0</v>
      </c>
      <c r="AN60" s="204">
        <f t="shared" si="26"/>
        <v>6512968.2699999996</v>
      </c>
      <c r="AO60" s="253">
        <v>44911</v>
      </c>
      <c r="AP60" s="50">
        <v>462687.01</v>
      </c>
      <c r="AQ60" s="204">
        <v>0</v>
      </c>
      <c r="AR60" s="204">
        <f t="shared" si="28"/>
        <v>462687.01</v>
      </c>
      <c r="AS60" s="253">
        <v>45013</v>
      </c>
      <c r="AT60" s="204">
        <v>7803360.1399999997</v>
      </c>
      <c r="AU60" s="204">
        <v>0</v>
      </c>
      <c r="AV60" s="204">
        <f>AT60-AU60</f>
        <v>7803360.1399999997</v>
      </c>
      <c r="AW60" s="249">
        <v>45002</v>
      </c>
      <c r="AX60" s="204">
        <v>4692068.3899999997</v>
      </c>
      <c r="AY60" s="204">
        <v>0</v>
      </c>
      <c r="AZ60" s="204">
        <f>AX60-AY60</f>
        <v>4692068.3899999997</v>
      </c>
      <c r="BA60" s="249">
        <v>45002</v>
      </c>
      <c r="BB60" s="204">
        <v>281337.40999999997</v>
      </c>
      <c r="BC60" s="204">
        <v>0</v>
      </c>
      <c r="BD60" s="204">
        <f>BB60-BC60</f>
        <v>281337.40999999997</v>
      </c>
      <c r="BE60" s="253">
        <v>45014</v>
      </c>
      <c r="BF60" s="204">
        <v>4081194.23</v>
      </c>
      <c r="BG60" s="204">
        <v>0</v>
      </c>
      <c r="BH60" s="204">
        <f>BF60-BG60</f>
        <v>4081194.23</v>
      </c>
      <c r="BI60" s="253">
        <v>45019</v>
      </c>
      <c r="BJ60" s="204"/>
      <c r="BK60" s="204"/>
      <c r="BL60" s="204"/>
      <c r="BM60" s="204"/>
      <c r="BN60" s="204"/>
      <c r="BO60" s="204"/>
      <c r="BP60" s="204"/>
      <c r="BQ60" s="204"/>
      <c r="BR60" s="204"/>
      <c r="BS60" s="204"/>
      <c r="BT60" s="204"/>
      <c r="BU60" s="204"/>
      <c r="BV60" s="204"/>
      <c r="BW60" s="204"/>
      <c r="BX60" s="204"/>
      <c r="BY60" s="204"/>
      <c r="BZ60" s="204"/>
      <c r="CA60" s="204"/>
      <c r="CB60" s="204"/>
      <c r="CC60" s="204"/>
      <c r="CD60" s="204"/>
      <c r="CE60" s="204"/>
      <c r="CF60" s="204"/>
      <c r="CG60" s="204"/>
      <c r="CH60" s="204"/>
      <c r="CI60" s="204"/>
      <c r="CJ60" s="204"/>
      <c r="CK60" s="204"/>
      <c r="CL60" s="204"/>
      <c r="CM60" s="204"/>
      <c r="CN60" s="204"/>
      <c r="CO60" s="204"/>
      <c r="CP60" s="204"/>
      <c r="CQ60" s="204"/>
      <c r="CR60" s="204"/>
      <c r="CS60" s="204"/>
      <c r="CT60" s="204"/>
      <c r="CU60" s="204"/>
      <c r="CV60" s="204"/>
      <c r="CW60" s="204"/>
      <c r="CX60" s="204"/>
      <c r="CY60" s="204"/>
      <c r="CZ60" s="204"/>
      <c r="DA60" s="204"/>
      <c r="DB60" s="204"/>
      <c r="DC60" s="204"/>
      <c r="DD60" s="204"/>
      <c r="DE60" s="204"/>
      <c r="DF60" s="204"/>
      <c r="DG60" s="204"/>
      <c r="DH60" s="204"/>
      <c r="DI60" s="204"/>
      <c r="DJ60" s="204"/>
      <c r="DK60" s="204"/>
      <c r="DL60" s="204"/>
      <c r="DM60" s="204"/>
      <c r="DN60" s="204"/>
      <c r="DO60" s="204"/>
      <c r="DP60" s="204"/>
      <c r="DQ60" s="204"/>
      <c r="DR60" s="204"/>
      <c r="DS60" s="204"/>
      <c r="DT60" s="204"/>
      <c r="DU60" s="204"/>
      <c r="DV60" s="204"/>
      <c r="DW60" s="204"/>
      <c r="DX60" s="204"/>
      <c r="DY60" s="204"/>
      <c r="DZ60" s="204"/>
      <c r="EA60" s="204"/>
      <c r="EB60" s="204"/>
      <c r="EC60" s="204"/>
      <c r="ED60" s="204"/>
      <c r="EE60" s="204"/>
      <c r="EF60" s="204"/>
      <c r="EG60" s="204"/>
      <c r="EH60" s="250">
        <f t="shared" si="27"/>
        <v>29763216.449999999</v>
      </c>
      <c r="EI60" s="250">
        <f t="shared" si="18"/>
        <v>0</v>
      </c>
      <c r="EJ60" s="250">
        <f t="shared" si="18"/>
        <v>29763216.449999999</v>
      </c>
      <c r="EK60" s="204">
        <f t="shared" si="10"/>
        <v>29763216.449999999</v>
      </c>
      <c r="EL60" s="204">
        <f t="shared" si="24"/>
        <v>0</v>
      </c>
      <c r="EM60" s="204">
        <f t="shared" si="12"/>
        <v>230637.8200000003</v>
      </c>
      <c r="EN60" s="204">
        <f t="shared" si="13"/>
        <v>0</v>
      </c>
      <c r="EO60" s="204">
        <f t="shared" si="14"/>
        <v>230637.8200000003</v>
      </c>
      <c r="EP60" s="204"/>
      <c r="EQ60" s="55">
        <v>44763</v>
      </c>
      <c r="ER60" s="55">
        <v>44910</v>
      </c>
      <c r="ES60" s="18"/>
      <c r="ET60" s="47" t="s">
        <v>1231</v>
      </c>
      <c r="EU60" s="18"/>
      <c r="EV60" s="18"/>
      <c r="EW60" s="18"/>
      <c r="EX60" s="18"/>
      <c r="EY60" s="331">
        <f t="shared" si="15"/>
        <v>0.99231049741310884</v>
      </c>
      <c r="EZ60" s="332">
        <v>1</v>
      </c>
      <c r="FA60" s="336"/>
      <c r="FB60" s="336">
        <f t="shared" si="16"/>
        <v>-1</v>
      </c>
      <c r="FC60" s="337">
        <f t="shared" si="25"/>
        <v>0.99231049741310884</v>
      </c>
      <c r="FD60" s="338" t="s">
        <v>147</v>
      </c>
      <c r="FE60" s="47" t="s">
        <v>269</v>
      </c>
      <c r="FF60" s="47"/>
      <c r="FG60" s="47" t="s">
        <v>154</v>
      </c>
      <c r="FH60" s="47" t="s">
        <v>169</v>
      </c>
      <c r="FI60" s="25">
        <v>1500</v>
      </c>
      <c r="FJ60" s="199" t="s">
        <v>1232</v>
      </c>
    </row>
    <row r="61" spans="1:166" ht="135.75" hidden="1" customHeight="1">
      <c r="A61" s="15"/>
      <c r="B61" s="5" t="s">
        <v>289</v>
      </c>
      <c r="C61" s="56" t="s">
        <v>957</v>
      </c>
      <c r="D61" s="125" t="s">
        <v>1111</v>
      </c>
      <c r="E61" s="125"/>
      <c r="F61" s="47">
        <v>121628</v>
      </c>
      <c r="G61" s="18" t="s">
        <v>270</v>
      </c>
      <c r="H61" s="19">
        <f>12000000-11504.48</f>
        <v>11988495.52</v>
      </c>
      <c r="I61" s="19">
        <v>11988495.52</v>
      </c>
      <c r="J61" s="18" t="s">
        <v>253</v>
      </c>
      <c r="K61" s="18" t="s">
        <v>749</v>
      </c>
      <c r="L61" s="18" t="s">
        <v>750</v>
      </c>
      <c r="M61" s="47" t="s">
        <v>751</v>
      </c>
      <c r="N61" s="18" t="s">
        <v>752</v>
      </c>
      <c r="O61" s="47">
        <v>5558039654</v>
      </c>
      <c r="P61" s="207" t="s">
        <v>753</v>
      </c>
      <c r="Q61" s="21"/>
      <c r="R61" s="22"/>
      <c r="S61" s="22"/>
      <c r="T61" s="22"/>
      <c r="U61" s="22"/>
      <c r="V61" s="48">
        <v>44753</v>
      </c>
      <c r="W61" s="48">
        <v>44755</v>
      </c>
      <c r="X61" s="23">
        <v>10334909.93</v>
      </c>
      <c r="Y61" s="23">
        <f t="shared" si="4"/>
        <v>11988495.5188</v>
      </c>
      <c r="Z61" s="23">
        <v>11988495.52</v>
      </c>
      <c r="AA61" s="204">
        <f t="shared" si="9"/>
        <v>0</v>
      </c>
      <c r="AB61" s="204">
        <v>0</v>
      </c>
      <c r="AC61" s="204">
        <v>0</v>
      </c>
      <c r="AD61" s="204">
        <v>594031.07999999996</v>
      </c>
      <c r="AE61" s="204">
        <v>0</v>
      </c>
      <c r="AF61" s="50">
        <f t="shared" si="5"/>
        <v>594031.07999999996</v>
      </c>
      <c r="AG61" s="253">
        <v>44834</v>
      </c>
      <c r="AH61" s="50">
        <v>2292274.54</v>
      </c>
      <c r="AI61" s="204">
        <v>0</v>
      </c>
      <c r="AJ61" s="204">
        <f t="shared" si="6"/>
        <v>2292274.54</v>
      </c>
      <c r="AK61" s="253">
        <v>44900</v>
      </c>
      <c r="AL61" s="50">
        <v>4153658.3</v>
      </c>
      <c r="AM61" s="254">
        <v>0</v>
      </c>
      <c r="AN61" s="204">
        <f t="shared" si="26"/>
        <v>4153658.3</v>
      </c>
      <c r="AO61" s="253">
        <v>44907</v>
      </c>
      <c r="AP61" s="50">
        <v>1087785.79</v>
      </c>
      <c r="AQ61" s="204">
        <v>0</v>
      </c>
      <c r="AR61" s="204">
        <f t="shared" si="28"/>
        <v>1087785.79</v>
      </c>
      <c r="AS61" s="253">
        <v>45001</v>
      </c>
      <c r="AT61" s="204">
        <v>879834.65</v>
      </c>
      <c r="AU61" s="204">
        <v>0</v>
      </c>
      <c r="AV61" s="204">
        <f>AT61-AU61</f>
        <v>879834.65</v>
      </c>
      <c r="AW61" s="249">
        <v>44642</v>
      </c>
      <c r="AX61" s="204">
        <v>660106.51</v>
      </c>
      <c r="AY61" s="204">
        <v>0</v>
      </c>
      <c r="AZ61" s="204">
        <f>AX61-AY61</f>
        <v>660106.51</v>
      </c>
      <c r="BA61" s="249">
        <v>45020</v>
      </c>
      <c r="BB61" s="204">
        <v>451787.23</v>
      </c>
      <c r="BC61" s="204">
        <v>0</v>
      </c>
      <c r="BD61" s="204">
        <f>BB61-BC61</f>
        <v>451787.23</v>
      </c>
      <c r="BE61" s="249">
        <v>45021</v>
      </c>
      <c r="BF61" s="204">
        <v>321499.64</v>
      </c>
      <c r="BG61" s="204">
        <v>0</v>
      </c>
      <c r="BH61" s="204">
        <f>BF61-BG61</f>
        <v>321499.64</v>
      </c>
      <c r="BI61" s="249">
        <v>45021</v>
      </c>
      <c r="BJ61" s="204">
        <v>1377457.13</v>
      </c>
      <c r="BK61" s="204">
        <v>0</v>
      </c>
      <c r="BL61" s="204">
        <f>BJ61-BK61</f>
        <v>1377457.13</v>
      </c>
      <c r="BM61" s="249">
        <v>45027</v>
      </c>
      <c r="BN61" s="204">
        <v>51281.58</v>
      </c>
      <c r="BO61" s="204">
        <v>0</v>
      </c>
      <c r="BP61" s="204">
        <f>BN61-BO61</f>
        <v>51281.58</v>
      </c>
      <c r="BQ61" s="204" t="s">
        <v>305</v>
      </c>
      <c r="BR61" s="204"/>
      <c r="BS61" s="204"/>
      <c r="BT61" s="204"/>
      <c r="BU61" s="204"/>
      <c r="BV61" s="204"/>
      <c r="BW61" s="204"/>
      <c r="BX61" s="204"/>
      <c r="BY61" s="204"/>
      <c r="BZ61" s="204"/>
      <c r="CA61" s="204"/>
      <c r="CB61" s="204"/>
      <c r="CC61" s="204"/>
      <c r="CD61" s="204"/>
      <c r="CE61" s="204"/>
      <c r="CF61" s="204"/>
      <c r="CG61" s="204"/>
      <c r="CH61" s="204"/>
      <c r="CI61" s="204"/>
      <c r="CJ61" s="204"/>
      <c r="CK61" s="204"/>
      <c r="CL61" s="204"/>
      <c r="CM61" s="204"/>
      <c r="CN61" s="204"/>
      <c r="CO61" s="204"/>
      <c r="CP61" s="204"/>
      <c r="CQ61" s="204"/>
      <c r="CR61" s="204"/>
      <c r="CS61" s="204"/>
      <c r="CT61" s="204"/>
      <c r="CU61" s="204"/>
      <c r="CV61" s="204"/>
      <c r="CW61" s="204"/>
      <c r="CX61" s="204"/>
      <c r="CY61" s="204"/>
      <c r="CZ61" s="204"/>
      <c r="DA61" s="204"/>
      <c r="DB61" s="204"/>
      <c r="DC61" s="204"/>
      <c r="DD61" s="204"/>
      <c r="DE61" s="204"/>
      <c r="DF61" s="204"/>
      <c r="DG61" s="204"/>
      <c r="DH61" s="204"/>
      <c r="DI61" s="204"/>
      <c r="DJ61" s="204"/>
      <c r="DK61" s="204"/>
      <c r="DL61" s="204"/>
      <c r="DM61" s="204"/>
      <c r="DN61" s="204"/>
      <c r="DO61" s="204"/>
      <c r="DP61" s="204"/>
      <c r="DQ61" s="204"/>
      <c r="DR61" s="204"/>
      <c r="DS61" s="204"/>
      <c r="DT61" s="204"/>
      <c r="DU61" s="204"/>
      <c r="DV61" s="204"/>
      <c r="DW61" s="204"/>
      <c r="DX61" s="204"/>
      <c r="DY61" s="204"/>
      <c r="DZ61" s="204"/>
      <c r="EA61" s="204"/>
      <c r="EB61" s="204"/>
      <c r="EC61" s="204"/>
      <c r="ED61" s="204"/>
      <c r="EE61" s="204"/>
      <c r="EF61" s="204"/>
      <c r="EG61" s="204"/>
      <c r="EH61" s="250">
        <f t="shared" si="27"/>
        <v>11869716.450000001</v>
      </c>
      <c r="EI61" s="250">
        <f t="shared" si="18"/>
        <v>0</v>
      </c>
      <c r="EJ61" s="250">
        <f t="shared" si="18"/>
        <v>11869716.450000001</v>
      </c>
      <c r="EK61" s="204">
        <f t="shared" si="10"/>
        <v>11869716.450000001</v>
      </c>
      <c r="EL61" s="204">
        <f t="shared" si="24"/>
        <v>0</v>
      </c>
      <c r="EM61" s="204">
        <f t="shared" si="12"/>
        <v>118779.06999999844</v>
      </c>
      <c r="EN61" s="204">
        <f t="shared" si="13"/>
        <v>0</v>
      </c>
      <c r="EO61" s="204">
        <f t="shared" si="14"/>
        <v>118779.06999999844</v>
      </c>
      <c r="EP61" s="204"/>
      <c r="EQ61" s="55">
        <v>44756</v>
      </c>
      <c r="ER61" s="55">
        <v>44910</v>
      </c>
      <c r="ES61" s="18"/>
      <c r="ET61" s="47" t="s">
        <v>1208</v>
      </c>
      <c r="EU61" s="18"/>
      <c r="EV61" s="18"/>
      <c r="EW61" s="18"/>
      <c r="EX61" s="18"/>
      <c r="EY61" s="331">
        <f t="shared" si="15"/>
        <v>0.99009224553641084</v>
      </c>
      <c r="EZ61" s="332">
        <v>1</v>
      </c>
      <c r="FA61" s="336"/>
      <c r="FB61" s="336">
        <f t="shared" si="16"/>
        <v>-1</v>
      </c>
      <c r="FC61" s="337">
        <f t="shared" si="25"/>
        <v>0.99009224553641084</v>
      </c>
      <c r="FD61" s="338" t="s">
        <v>147</v>
      </c>
      <c r="FE61" s="47" t="s">
        <v>271</v>
      </c>
      <c r="FF61" s="47"/>
      <c r="FG61" s="47" t="s">
        <v>157</v>
      </c>
      <c r="FH61" s="47" t="s">
        <v>146</v>
      </c>
      <c r="FI61" s="25">
        <v>3000</v>
      </c>
      <c r="FJ61" s="199" t="s">
        <v>1234</v>
      </c>
    </row>
    <row r="62" spans="1:166" ht="222.75" hidden="1" customHeight="1">
      <c r="A62" s="15"/>
      <c r="B62" s="5" t="s">
        <v>289</v>
      </c>
      <c r="C62" s="56" t="s">
        <v>956</v>
      </c>
      <c r="D62" s="125" t="s">
        <v>1111</v>
      </c>
      <c r="E62" s="125"/>
      <c r="F62" s="47">
        <v>121630</v>
      </c>
      <c r="G62" s="18" t="s">
        <v>272</v>
      </c>
      <c r="H62" s="19">
        <f>15000000-1501633.06</f>
        <v>13498366.939999999</v>
      </c>
      <c r="I62" s="19">
        <v>13498366.939999999</v>
      </c>
      <c r="J62" s="18" t="s">
        <v>253</v>
      </c>
      <c r="K62" s="18" t="s">
        <v>729</v>
      </c>
      <c r="L62" s="18" t="s">
        <v>730</v>
      </c>
      <c r="M62" s="47" t="s">
        <v>731</v>
      </c>
      <c r="N62" s="18" t="s">
        <v>732</v>
      </c>
      <c r="O62" s="47">
        <v>5546165546</v>
      </c>
      <c r="P62" s="207" t="s">
        <v>744</v>
      </c>
      <c r="Q62" s="21"/>
      <c r="R62" s="22"/>
      <c r="S62" s="22"/>
      <c r="T62" s="22"/>
      <c r="U62" s="22"/>
      <c r="V62" s="48">
        <v>44746</v>
      </c>
      <c r="W62" s="48">
        <v>44748</v>
      </c>
      <c r="X62" s="23">
        <v>11636523.220000001</v>
      </c>
      <c r="Y62" s="23">
        <f t="shared" si="4"/>
        <v>13498366.9352</v>
      </c>
      <c r="Z62" s="23">
        <v>13498366.939999999</v>
      </c>
      <c r="AA62" s="204">
        <f t="shared" si="9"/>
        <v>0</v>
      </c>
      <c r="AB62" s="204">
        <v>4049510.08</v>
      </c>
      <c r="AC62" s="204">
        <v>4049510.08</v>
      </c>
      <c r="AD62" s="204">
        <v>433223.46</v>
      </c>
      <c r="AE62" s="204">
        <v>129967.03999999999</v>
      </c>
      <c r="AF62" s="50">
        <f t="shared" si="5"/>
        <v>303256.42000000004</v>
      </c>
      <c r="AG62" s="253">
        <v>44834</v>
      </c>
      <c r="AH62" s="50">
        <v>968080.91</v>
      </c>
      <c r="AI62" s="50">
        <v>290424.27</v>
      </c>
      <c r="AJ62" s="204">
        <f t="shared" si="6"/>
        <v>677656.64</v>
      </c>
      <c r="AK62" s="253">
        <v>44894</v>
      </c>
      <c r="AL62" s="50">
        <v>2782774.05</v>
      </c>
      <c r="AM62" s="50">
        <v>834832.22</v>
      </c>
      <c r="AN62" s="204">
        <f t="shared" si="26"/>
        <v>1947941.8299999998</v>
      </c>
      <c r="AO62" s="253">
        <v>44900</v>
      </c>
      <c r="AP62" s="204">
        <v>4035359.11</v>
      </c>
      <c r="AQ62" s="204">
        <v>1210607.73</v>
      </c>
      <c r="AR62" s="204">
        <f t="shared" si="28"/>
        <v>2824751.38</v>
      </c>
      <c r="AS62" s="253">
        <v>45009</v>
      </c>
      <c r="AT62" s="204">
        <v>1849407.37</v>
      </c>
      <c r="AU62" s="204">
        <v>554822.21</v>
      </c>
      <c r="AV62" s="204">
        <f>AT62-AU62</f>
        <v>1294585.1600000001</v>
      </c>
      <c r="AW62" s="204"/>
      <c r="AX62" s="204">
        <v>2171411.39</v>
      </c>
      <c r="AY62" s="204">
        <v>1028856.61</v>
      </c>
      <c r="AZ62" s="204">
        <f>AX62-AY62</f>
        <v>1142554.7800000003</v>
      </c>
      <c r="BA62" s="249">
        <v>45029</v>
      </c>
      <c r="BB62" s="204">
        <v>336028.79</v>
      </c>
      <c r="BC62" s="204">
        <v>0</v>
      </c>
      <c r="BD62" s="204">
        <f>BB62-BC62</f>
        <v>336028.79</v>
      </c>
      <c r="BE62" s="249">
        <v>45029</v>
      </c>
      <c r="BF62" s="392">
        <v>19275.55</v>
      </c>
      <c r="BG62" s="392">
        <v>0</v>
      </c>
      <c r="BH62" s="392">
        <f>BF62-BG62</f>
        <v>19275.55</v>
      </c>
      <c r="BI62" s="392" t="s">
        <v>1186</v>
      </c>
      <c r="BJ62" s="204"/>
      <c r="BK62" s="204"/>
      <c r="BL62" s="204"/>
      <c r="BM62" s="204"/>
      <c r="BN62" s="204"/>
      <c r="BO62" s="204"/>
      <c r="BP62" s="204"/>
      <c r="BQ62" s="204"/>
      <c r="BR62" s="204"/>
      <c r="BS62" s="204"/>
      <c r="BT62" s="204"/>
      <c r="BU62" s="204"/>
      <c r="BV62" s="204"/>
      <c r="BW62" s="204"/>
      <c r="BX62" s="204"/>
      <c r="BY62" s="204"/>
      <c r="BZ62" s="204"/>
      <c r="CA62" s="204"/>
      <c r="CB62" s="204"/>
      <c r="CC62" s="204"/>
      <c r="CD62" s="204"/>
      <c r="CE62" s="204"/>
      <c r="CF62" s="204"/>
      <c r="CG62" s="204"/>
      <c r="CH62" s="204"/>
      <c r="CI62" s="204"/>
      <c r="CJ62" s="204"/>
      <c r="CK62" s="204"/>
      <c r="CL62" s="204"/>
      <c r="CM62" s="204"/>
      <c r="CN62" s="204"/>
      <c r="CO62" s="204"/>
      <c r="CP62" s="204"/>
      <c r="CQ62" s="204"/>
      <c r="CR62" s="204"/>
      <c r="CS62" s="204"/>
      <c r="CT62" s="204"/>
      <c r="CU62" s="204"/>
      <c r="CV62" s="204"/>
      <c r="CW62" s="204"/>
      <c r="CX62" s="204"/>
      <c r="CY62" s="204"/>
      <c r="CZ62" s="204"/>
      <c r="DA62" s="204"/>
      <c r="DB62" s="204"/>
      <c r="DC62" s="204"/>
      <c r="DD62" s="204"/>
      <c r="DE62" s="204"/>
      <c r="DF62" s="204"/>
      <c r="DG62" s="204"/>
      <c r="DH62" s="204"/>
      <c r="DI62" s="204"/>
      <c r="DJ62" s="204"/>
      <c r="DK62" s="204"/>
      <c r="DL62" s="204"/>
      <c r="DM62" s="204"/>
      <c r="DN62" s="204"/>
      <c r="DO62" s="204"/>
      <c r="DP62" s="204"/>
      <c r="DQ62" s="204"/>
      <c r="DR62" s="204"/>
      <c r="DS62" s="204"/>
      <c r="DT62" s="204"/>
      <c r="DU62" s="204"/>
      <c r="DV62" s="204"/>
      <c r="DW62" s="204"/>
      <c r="DX62" s="204"/>
      <c r="DY62" s="204"/>
      <c r="DZ62" s="204"/>
      <c r="EA62" s="204"/>
      <c r="EB62" s="204"/>
      <c r="EC62" s="204"/>
      <c r="ED62" s="204"/>
      <c r="EE62" s="204"/>
      <c r="EF62" s="204"/>
      <c r="EG62" s="204"/>
      <c r="EH62" s="250">
        <f t="shared" si="27"/>
        <v>12595560.629999999</v>
      </c>
      <c r="EI62" s="250">
        <f t="shared" si="18"/>
        <v>4049510.0799999996</v>
      </c>
      <c r="EJ62" s="250">
        <f t="shared" si="18"/>
        <v>8546050.5500000007</v>
      </c>
      <c r="EK62" s="204">
        <f t="shared" si="10"/>
        <v>12595560.629999999</v>
      </c>
      <c r="EL62" s="204">
        <f t="shared" si="24"/>
        <v>0</v>
      </c>
      <c r="EM62" s="204">
        <f t="shared" si="12"/>
        <v>902806.31000000052</v>
      </c>
      <c r="EN62" s="204">
        <f t="shared" si="13"/>
        <v>4049510.0799999982</v>
      </c>
      <c r="EO62" s="204">
        <f t="shared" si="14"/>
        <v>902806.31000000052</v>
      </c>
      <c r="EP62" s="204"/>
      <c r="EQ62" s="55">
        <v>44749</v>
      </c>
      <c r="ER62" s="55">
        <v>44868</v>
      </c>
      <c r="ES62" s="18"/>
      <c r="ET62" s="47" t="s">
        <v>1318</v>
      </c>
      <c r="EU62" s="47" t="s">
        <v>1258</v>
      </c>
      <c r="EV62" s="18"/>
      <c r="EW62" s="18"/>
      <c r="EX62" s="18"/>
      <c r="EY62" s="331">
        <f t="shared" si="15"/>
        <v>0.93311736789991273</v>
      </c>
      <c r="EZ62" s="349">
        <v>1</v>
      </c>
      <c r="FA62" s="336"/>
      <c r="FB62" s="336">
        <f t="shared" si="16"/>
        <v>-1</v>
      </c>
      <c r="FC62" s="337">
        <f t="shared" si="25"/>
        <v>0.93311736789991273</v>
      </c>
      <c r="FD62" s="338" t="s">
        <v>147</v>
      </c>
      <c r="FE62" s="47" t="s">
        <v>273</v>
      </c>
      <c r="FF62" s="47"/>
      <c r="FG62" s="47" t="s">
        <v>154</v>
      </c>
      <c r="FH62" s="47" t="s">
        <v>146</v>
      </c>
      <c r="FI62" s="25">
        <v>3250</v>
      </c>
      <c r="FJ62" s="199" t="s">
        <v>1332</v>
      </c>
    </row>
    <row r="63" spans="1:166" ht="150.75" hidden="1" customHeight="1">
      <c r="A63" s="15"/>
      <c r="B63" s="5" t="s">
        <v>289</v>
      </c>
      <c r="C63" s="56" t="s">
        <v>894</v>
      </c>
      <c r="D63" s="125" t="s">
        <v>1111</v>
      </c>
      <c r="E63" s="125"/>
      <c r="F63" s="47">
        <v>121632</v>
      </c>
      <c r="G63" s="18" t="s">
        <v>274</v>
      </c>
      <c r="H63" s="19">
        <f>11000000-5520144.41</f>
        <v>5479855.5899999999</v>
      </c>
      <c r="I63" s="19">
        <v>5479855.5899999999</v>
      </c>
      <c r="J63" s="18" t="s">
        <v>253</v>
      </c>
      <c r="K63" s="18" t="s">
        <v>720</v>
      </c>
      <c r="L63" s="18" t="s">
        <v>733</v>
      </c>
      <c r="M63" s="47" t="s">
        <v>734</v>
      </c>
      <c r="N63" s="18" t="s">
        <v>735</v>
      </c>
      <c r="O63" s="47">
        <v>7222742044</v>
      </c>
      <c r="P63" s="207" t="s">
        <v>747</v>
      </c>
      <c r="Q63" s="21"/>
      <c r="R63" s="22"/>
      <c r="S63" s="22"/>
      <c r="T63" s="22"/>
      <c r="U63" s="22"/>
      <c r="V63" s="208">
        <v>44748</v>
      </c>
      <c r="W63" s="48">
        <v>44750</v>
      </c>
      <c r="X63" s="23">
        <v>4724013.4400000004</v>
      </c>
      <c r="Y63" s="23">
        <f t="shared" si="4"/>
        <v>5479855.5904000001</v>
      </c>
      <c r="Z63" s="23">
        <v>5479855.5899999999</v>
      </c>
      <c r="AA63" s="204">
        <f t="shared" si="9"/>
        <v>0</v>
      </c>
      <c r="AB63" s="204">
        <v>0</v>
      </c>
      <c r="AC63" s="204">
        <v>0</v>
      </c>
      <c r="AD63" s="204">
        <v>427217.3</v>
      </c>
      <c r="AE63" s="204">
        <v>0</v>
      </c>
      <c r="AF63" s="50">
        <f t="shared" si="5"/>
        <v>427217.3</v>
      </c>
      <c r="AG63" s="253">
        <v>44830</v>
      </c>
      <c r="AH63" s="50">
        <v>822636.04</v>
      </c>
      <c r="AI63" s="204">
        <v>0</v>
      </c>
      <c r="AJ63" s="204">
        <f t="shared" si="6"/>
        <v>822636.04</v>
      </c>
      <c r="AK63" s="253">
        <v>44855</v>
      </c>
      <c r="AL63" s="50">
        <v>1971540.81</v>
      </c>
      <c r="AM63" s="254">
        <v>0</v>
      </c>
      <c r="AN63" s="204">
        <f t="shared" si="26"/>
        <v>1971540.81</v>
      </c>
      <c r="AO63" s="253">
        <v>44938</v>
      </c>
      <c r="AP63" s="204">
        <v>1890084.28</v>
      </c>
      <c r="AQ63" s="204">
        <v>0</v>
      </c>
      <c r="AR63" s="204">
        <f t="shared" si="28"/>
        <v>1890084.28</v>
      </c>
      <c r="AS63" s="312" t="s">
        <v>1289</v>
      </c>
      <c r="AT63" s="204"/>
      <c r="AU63" s="204"/>
      <c r="AV63" s="204"/>
      <c r="AW63" s="249"/>
      <c r="AX63" s="204"/>
      <c r="AY63" s="204"/>
      <c r="AZ63" s="204"/>
      <c r="BA63" s="204"/>
      <c r="BB63" s="204"/>
      <c r="BC63" s="204"/>
      <c r="BD63" s="204"/>
      <c r="BE63" s="204"/>
      <c r="BF63" s="204"/>
      <c r="BG63" s="204"/>
      <c r="BH63" s="204"/>
      <c r="BI63" s="204"/>
      <c r="BJ63" s="204"/>
      <c r="BK63" s="204"/>
      <c r="BL63" s="204"/>
      <c r="BM63" s="204"/>
      <c r="BN63" s="204"/>
      <c r="BO63" s="204"/>
      <c r="BP63" s="204"/>
      <c r="BQ63" s="204"/>
      <c r="BR63" s="204"/>
      <c r="BS63" s="204"/>
      <c r="BT63" s="204"/>
      <c r="BU63" s="204"/>
      <c r="BV63" s="204"/>
      <c r="BW63" s="204"/>
      <c r="BX63" s="204"/>
      <c r="BY63" s="204"/>
      <c r="BZ63" s="204"/>
      <c r="CA63" s="204"/>
      <c r="CB63" s="204"/>
      <c r="CC63" s="204"/>
      <c r="CD63" s="204"/>
      <c r="CE63" s="204"/>
      <c r="CF63" s="204"/>
      <c r="CG63" s="204"/>
      <c r="CH63" s="204"/>
      <c r="CI63" s="204"/>
      <c r="CJ63" s="204"/>
      <c r="CK63" s="204"/>
      <c r="CL63" s="204"/>
      <c r="CM63" s="204"/>
      <c r="CN63" s="204"/>
      <c r="CO63" s="204"/>
      <c r="CP63" s="204"/>
      <c r="CQ63" s="204"/>
      <c r="CR63" s="204"/>
      <c r="CS63" s="204"/>
      <c r="CT63" s="204"/>
      <c r="CU63" s="204"/>
      <c r="CV63" s="204"/>
      <c r="CW63" s="204"/>
      <c r="CX63" s="204"/>
      <c r="CY63" s="204"/>
      <c r="CZ63" s="204"/>
      <c r="DA63" s="204"/>
      <c r="DB63" s="204"/>
      <c r="DC63" s="204"/>
      <c r="DD63" s="204"/>
      <c r="DE63" s="204"/>
      <c r="DF63" s="204"/>
      <c r="DG63" s="204"/>
      <c r="DH63" s="204"/>
      <c r="DI63" s="204"/>
      <c r="DJ63" s="204"/>
      <c r="DK63" s="204"/>
      <c r="DL63" s="204"/>
      <c r="DM63" s="204"/>
      <c r="DN63" s="204"/>
      <c r="DO63" s="204"/>
      <c r="DP63" s="204"/>
      <c r="DQ63" s="204"/>
      <c r="DR63" s="204"/>
      <c r="DS63" s="204"/>
      <c r="DT63" s="204"/>
      <c r="DU63" s="204"/>
      <c r="DV63" s="204"/>
      <c r="DW63" s="204"/>
      <c r="DX63" s="204"/>
      <c r="DY63" s="204"/>
      <c r="DZ63" s="204"/>
      <c r="EA63" s="204"/>
      <c r="EB63" s="204"/>
      <c r="EC63" s="204"/>
      <c r="ED63" s="204"/>
      <c r="EE63" s="204"/>
      <c r="EF63" s="204"/>
      <c r="EG63" s="204"/>
      <c r="EH63" s="250">
        <f t="shared" si="27"/>
        <v>5111478.4300000006</v>
      </c>
      <c r="EI63" s="250">
        <f t="shared" si="18"/>
        <v>0</v>
      </c>
      <c r="EJ63" s="250">
        <f t="shared" si="18"/>
        <v>5111478.4300000006</v>
      </c>
      <c r="EK63" s="204">
        <f t="shared" si="10"/>
        <v>5111478.4300000006</v>
      </c>
      <c r="EL63" s="204">
        <f t="shared" si="24"/>
        <v>0</v>
      </c>
      <c r="EM63" s="204">
        <f t="shared" si="12"/>
        <v>368377.15999999922</v>
      </c>
      <c r="EN63" s="204">
        <f t="shared" si="13"/>
        <v>0</v>
      </c>
      <c r="EO63" s="204">
        <f t="shared" si="14"/>
        <v>368377.15999999922</v>
      </c>
      <c r="EP63" s="204"/>
      <c r="EQ63" s="55">
        <v>44751</v>
      </c>
      <c r="ER63" s="55">
        <v>44910</v>
      </c>
      <c r="ES63" s="18"/>
      <c r="ET63" s="47" t="s">
        <v>1167</v>
      </c>
      <c r="EU63" s="18"/>
      <c r="EV63" s="18"/>
      <c r="EW63" s="18"/>
      <c r="EX63" s="54" t="s">
        <v>1376</v>
      </c>
      <c r="EY63" s="331">
        <f t="shared" si="15"/>
        <v>0.93277611901447954</v>
      </c>
      <c r="EZ63" s="332">
        <v>1</v>
      </c>
      <c r="FA63" s="336"/>
      <c r="FB63" s="336">
        <f t="shared" si="16"/>
        <v>-1</v>
      </c>
      <c r="FC63" s="337">
        <f t="shared" si="25"/>
        <v>0.93277611901447954</v>
      </c>
      <c r="FD63" s="338" t="s">
        <v>147</v>
      </c>
      <c r="FE63" s="47" t="s">
        <v>275</v>
      </c>
      <c r="FF63" s="47"/>
      <c r="FG63" s="47" t="s">
        <v>138</v>
      </c>
      <c r="FH63" s="47" t="s">
        <v>148</v>
      </c>
      <c r="FI63" s="25">
        <v>6000</v>
      </c>
      <c r="FJ63" s="199" t="s">
        <v>1288</v>
      </c>
    </row>
    <row r="64" spans="1:166" ht="188.25" hidden="1" customHeight="1">
      <c r="A64" s="15"/>
      <c r="B64" s="5" t="s">
        <v>289</v>
      </c>
      <c r="C64" s="56" t="s">
        <v>955</v>
      </c>
      <c r="D64" s="125" t="s">
        <v>1111</v>
      </c>
      <c r="E64" s="125"/>
      <c r="F64" s="47">
        <v>121633</v>
      </c>
      <c r="G64" s="18" t="s">
        <v>276</v>
      </c>
      <c r="H64" s="19">
        <f>10000000-50311.44</f>
        <v>9949688.5600000005</v>
      </c>
      <c r="I64" s="19">
        <v>9949688.5600000005</v>
      </c>
      <c r="J64" s="18" t="s">
        <v>253</v>
      </c>
      <c r="K64" s="217" t="s">
        <v>787</v>
      </c>
      <c r="L64" s="18" t="s">
        <v>845</v>
      </c>
      <c r="M64" s="47" t="s">
        <v>846</v>
      </c>
      <c r="N64" s="18" t="s">
        <v>847</v>
      </c>
      <c r="O64" s="47">
        <v>5527463543</v>
      </c>
      <c r="P64" s="207" t="s">
        <v>786</v>
      </c>
      <c r="Q64" s="21"/>
      <c r="R64" s="22"/>
      <c r="S64" s="22"/>
      <c r="T64" s="22"/>
      <c r="U64" s="22"/>
      <c r="V64" s="48">
        <v>44767</v>
      </c>
      <c r="W64" s="48">
        <v>44769</v>
      </c>
      <c r="X64" s="23">
        <v>8577317.7200000007</v>
      </c>
      <c r="Y64" s="23">
        <f t="shared" si="4"/>
        <v>9949688.5551999994</v>
      </c>
      <c r="Z64" s="23">
        <v>9949688.5600000005</v>
      </c>
      <c r="AA64" s="204">
        <f t="shared" si="9"/>
        <v>0</v>
      </c>
      <c r="AB64" s="204">
        <v>0</v>
      </c>
      <c r="AC64" s="204">
        <v>0</v>
      </c>
      <c r="AD64" s="204">
        <v>463936.42</v>
      </c>
      <c r="AE64" s="204">
        <v>0</v>
      </c>
      <c r="AF64" s="50">
        <f>AD64-AE64</f>
        <v>463936.42</v>
      </c>
      <c r="AG64" s="253">
        <v>44816</v>
      </c>
      <c r="AH64" s="204">
        <v>2010426.46</v>
      </c>
      <c r="AI64" s="204">
        <v>0</v>
      </c>
      <c r="AJ64" s="204">
        <f t="shared" si="6"/>
        <v>2010426.46</v>
      </c>
      <c r="AK64" s="253">
        <v>44834</v>
      </c>
      <c r="AL64" s="50">
        <v>472907.76</v>
      </c>
      <c r="AM64" s="254">
        <v>0</v>
      </c>
      <c r="AN64" s="204">
        <f t="shared" si="26"/>
        <v>472907.76</v>
      </c>
      <c r="AO64" s="253">
        <v>44847</v>
      </c>
      <c r="AP64" s="204">
        <v>0</v>
      </c>
      <c r="AQ64" s="204">
        <v>0</v>
      </c>
      <c r="AR64" s="204">
        <v>0</v>
      </c>
      <c r="AS64" s="253" t="s">
        <v>305</v>
      </c>
      <c r="AT64" s="204"/>
      <c r="AU64" s="204"/>
      <c r="AV64" s="204"/>
      <c r="AW64" s="249"/>
      <c r="AX64" s="204"/>
      <c r="AY64" s="204"/>
      <c r="AZ64" s="204"/>
      <c r="BA64" s="204"/>
      <c r="BB64" s="204"/>
      <c r="BC64" s="204"/>
      <c r="BD64" s="204"/>
      <c r="BE64" s="204"/>
      <c r="BF64" s="204"/>
      <c r="BG64" s="204"/>
      <c r="BH64" s="204"/>
      <c r="BI64" s="204"/>
      <c r="BJ64" s="204"/>
      <c r="BK64" s="204"/>
      <c r="BL64" s="204"/>
      <c r="BM64" s="204"/>
      <c r="BN64" s="204"/>
      <c r="BO64" s="204"/>
      <c r="BP64" s="204"/>
      <c r="BQ64" s="204"/>
      <c r="BR64" s="204"/>
      <c r="BS64" s="204"/>
      <c r="BT64" s="204"/>
      <c r="BU64" s="204"/>
      <c r="BV64" s="204"/>
      <c r="BW64" s="204"/>
      <c r="BX64" s="204"/>
      <c r="BY64" s="204"/>
      <c r="BZ64" s="204"/>
      <c r="CA64" s="204"/>
      <c r="CB64" s="204"/>
      <c r="CC64" s="204"/>
      <c r="CD64" s="204"/>
      <c r="CE64" s="204"/>
      <c r="CF64" s="204"/>
      <c r="CG64" s="204"/>
      <c r="CH64" s="204"/>
      <c r="CI64" s="204"/>
      <c r="CJ64" s="204"/>
      <c r="CK64" s="204"/>
      <c r="CL64" s="204"/>
      <c r="CM64" s="204"/>
      <c r="CN64" s="204"/>
      <c r="CO64" s="204"/>
      <c r="CP64" s="204"/>
      <c r="CQ64" s="204"/>
      <c r="CR64" s="204"/>
      <c r="CS64" s="204"/>
      <c r="CT64" s="204"/>
      <c r="CU64" s="204"/>
      <c r="CV64" s="204"/>
      <c r="CW64" s="204"/>
      <c r="CX64" s="204"/>
      <c r="CY64" s="204"/>
      <c r="CZ64" s="204"/>
      <c r="DA64" s="204"/>
      <c r="DB64" s="204"/>
      <c r="DC64" s="204"/>
      <c r="DD64" s="204"/>
      <c r="DE64" s="204"/>
      <c r="DF64" s="204"/>
      <c r="DG64" s="204"/>
      <c r="DH64" s="204"/>
      <c r="DI64" s="204"/>
      <c r="DJ64" s="204"/>
      <c r="DK64" s="204"/>
      <c r="DL64" s="204"/>
      <c r="DM64" s="204"/>
      <c r="DN64" s="204"/>
      <c r="DO64" s="204"/>
      <c r="DP64" s="204"/>
      <c r="DQ64" s="204"/>
      <c r="DR64" s="204"/>
      <c r="DS64" s="204"/>
      <c r="DT64" s="204"/>
      <c r="DU64" s="204"/>
      <c r="DV64" s="204"/>
      <c r="DW64" s="204"/>
      <c r="DX64" s="204"/>
      <c r="DY64" s="204"/>
      <c r="DZ64" s="204"/>
      <c r="EA64" s="204"/>
      <c r="EB64" s="204"/>
      <c r="EC64" s="204"/>
      <c r="ED64" s="204"/>
      <c r="EE64" s="204"/>
      <c r="EF64" s="204"/>
      <c r="EG64" s="204"/>
      <c r="EH64" s="250">
        <f t="shared" si="27"/>
        <v>2947270.6399999997</v>
      </c>
      <c r="EI64" s="250">
        <f t="shared" si="18"/>
        <v>0</v>
      </c>
      <c r="EJ64" s="250">
        <f t="shared" si="18"/>
        <v>2947270.6399999997</v>
      </c>
      <c r="EK64" s="204">
        <f t="shared" si="10"/>
        <v>2947270.6399999997</v>
      </c>
      <c r="EL64" s="204">
        <f t="shared" si="24"/>
        <v>0</v>
      </c>
      <c r="EM64" s="204">
        <f t="shared" si="12"/>
        <v>7002417.9200000009</v>
      </c>
      <c r="EN64" s="204">
        <f t="shared" si="13"/>
        <v>0</v>
      </c>
      <c r="EO64" s="204">
        <f t="shared" si="14"/>
        <v>7002417.9200000009</v>
      </c>
      <c r="EP64" s="204"/>
      <c r="EQ64" s="55">
        <v>44770</v>
      </c>
      <c r="ER64" s="55">
        <v>44889</v>
      </c>
      <c r="ES64" s="18"/>
      <c r="ET64" s="18"/>
      <c r="EU64" s="47" t="s">
        <v>1033</v>
      </c>
      <c r="EV64" s="18"/>
      <c r="EW64" s="18"/>
      <c r="EX64" s="18"/>
      <c r="EY64" s="331">
        <f t="shared" si="15"/>
        <v>0.29621737627534339</v>
      </c>
      <c r="EZ64" s="332">
        <v>0.11</v>
      </c>
      <c r="FA64" s="336"/>
      <c r="FB64" s="336">
        <f t="shared" si="16"/>
        <v>-0.11</v>
      </c>
      <c r="FC64" s="337">
        <f t="shared" si="25"/>
        <v>0.29621737627534339</v>
      </c>
      <c r="FD64" s="338" t="s">
        <v>307</v>
      </c>
      <c r="FE64" s="47" t="s">
        <v>277</v>
      </c>
      <c r="FF64" s="47"/>
      <c r="FG64" s="47" t="s">
        <v>159</v>
      </c>
      <c r="FH64" s="47" t="s">
        <v>146</v>
      </c>
      <c r="FI64" s="25">
        <v>4800</v>
      </c>
      <c r="FJ64" s="199" t="s">
        <v>1274</v>
      </c>
    </row>
    <row r="65" spans="1:166" ht="216.75" hidden="1" customHeight="1">
      <c r="A65" s="15"/>
      <c r="B65" s="5" t="s">
        <v>289</v>
      </c>
      <c r="C65" s="56" t="s">
        <v>907</v>
      </c>
      <c r="D65" s="125" t="s">
        <v>1111</v>
      </c>
      <c r="E65" s="125"/>
      <c r="F65" s="47">
        <v>121634</v>
      </c>
      <c r="G65" s="18" t="s">
        <v>278</v>
      </c>
      <c r="H65" s="19">
        <f>9000000-947631.05</f>
        <v>8052368.9500000002</v>
      </c>
      <c r="I65" s="19">
        <v>8052368.9500000002</v>
      </c>
      <c r="J65" s="18" t="s">
        <v>253</v>
      </c>
      <c r="K65" s="18" t="s">
        <v>185</v>
      </c>
      <c r="L65" s="18" t="s">
        <v>697</v>
      </c>
      <c r="M65" s="47" t="s">
        <v>186</v>
      </c>
      <c r="N65" s="18" t="s">
        <v>698</v>
      </c>
      <c r="O65" s="47">
        <v>5558820099</v>
      </c>
      <c r="P65" s="20" t="s">
        <v>831</v>
      </c>
      <c r="Q65" s="21"/>
      <c r="R65" s="22"/>
      <c r="S65" s="22"/>
      <c r="T65" s="22"/>
      <c r="U65" s="22"/>
      <c r="V65" s="48">
        <v>44761</v>
      </c>
      <c r="W65" s="48">
        <v>44763</v>
      </c>
      <c r="X65" s="23">
        <v>6941697.3700000001</v>
      </c>
      <c r="Y65" s="23">
        <f t="shared" si="4"/>
        <v>8052368.9491999997</v>
      </c>
      <c r="Z65" s="23">
        <v>8052368.9500000002</v>
      </c>
      <c r="AA65" s="204">
        <f t="shared" si="9"/>
        <v>0</v>
      </c>
      <c r="AB65" s="204">
        <v>0</v>
      </c>
      <c r="AC65" s="204">
        <v>0</v>
      </c>
      <c r="AD65" s="204">
        <v>4667649.3099999996</v>
      </c>
      <c r="AE65" s="204">
        <v>0</v>
      </c>
      <c r="AF65" s="50">
        <f t="shared" si="5"/>
        <v>4667649.3099999996</v>
      </c>
      <c r="AG65" s="253">
        <v>44907</v>
      </c>
      <c r="AH65" s="204">
        <v>3302481.96</v>
      </c>
      <c r="AI65" s="204">
        <v>0</v>
      </c>
      <c r="AJ65" s="204">
        <f t="shared" si="6"/>
        <v>3302481.96</v>
      </c>
      <c r="AK65" s="253">
        <v>45002</v>
      </c>
      <c r="AL65" s="50">
        <v>78537.570000000007</v>
      </c>
      <c r="AM65" s="254">
        <v>0</v>
      </c>
      <c r="AN65" s="204">
        <f t="shared" si="26"/>
        <v>78537.570000000007</v>
      </c>
      <c r="AO65" s="312" t="s">
        <v>1294</v>
      </c>
      <c r="AP65" s="204"/>
      <c r="AQ65" s="204"/>
      <c r="AR65" s="204">
        <f t="shared" si="28"/>
        <v>0</v>
      </c>
      <c r="AS65" s="253"/>
      <c r="AT65" s="204"/>
      <c r="AU65" s="204"/>
      <c r="AV65" s="204"/>
      <c r="AW65" s="249"/>
      <c r="AX65" s="204"/>
      <c r="AY65" s="204"/>
      <c r="AZ65" s="204"/>
      <c r="BA65" s="204"/>
      <c r="BB65" s="204"/>
      <c r="BC65" s="204"/>
      <c r="BD65" s="204"/>
      <c r="BE65" s="204"/>
      <c r="BF65" s="204"/>
      <c r="BG65" s="204"/>
      <c r="BH65" s="204"/>
      <c r="BI65" s="204"/>
      <c r="BJ65" s="204"/>
      <c r="BK65" s="204"/>
      <c r="BL65" s="204"/>
      <c r="BM65" s="204"/>
      <c r="BN65" s="204"/>
      <c r="BO65" s="204"/>
      <c r="BP65" s="204"/>
      <c r="BQ65" s="204"/>
      <c r="BR65" s="204"/>
      <c r="BS65" s="204"/>
      <c r="BT65" s="204"/>
      <c r="BU65" s="204"/>
      <c r="BV65" s="204"/>
      <c r="BW65" s="204"/>
      <c r="BX65" s="204"/>
      <c r="BY65" s="204"/>
      <c r="BZ65" s="204"/>
      <c r="CA65" s="204"/>
      <c r="CB65" s="204"/>
      <c r="CC65" s="204"/>
      <c r="CD65" s="204"/>
      <c r="CE65" s="204"/>
      <c r="CF65" s="204"/>
      <c r="CG65" s="204"/>
      <c r="CH65" s="204"/>
      <c r="CI65" s="204"/>
      <c r="CJ65" s="204"/>
      <c r="CK65" s="204"/>
      <c r="CL65" s="204"/>
      <c r="CM65" s="204"/>
      <c r="CN65" s="204"/>
      <c r="CO65" s="204"/>
      <c r="CP65" s="204"/>
      <c r="CQ65" s="204"/>
      <c r="CR65" s="204"/>
      <c r="CS65" s="204"/>
      <c r="CT65" s="204"/>
      <c r="CU65" s="204"/>
      <c r="CV65" s="204"/>
      <c r="CW65" s="204"/>
      <c r="CX65" s="204"/>
      <c r="CY65" s="204"/>
      <c r="CZ65" s="204"/>
      <c r="DA65" s="204"/>
      <c r="DB65" s="204"/>
      <c r="DC65" s="204"/>
      <c r="DD65" s="204"/>
      <c r="DE65" s="204"/>
      <c r="DF65" s="204"/>
      <c r="DG65" s="204"/>
      <c r="DH65" s="204"/>
      <c r="DI65" s="204"/>
      <c r="DJ65" s="204"/>
      <c r="DK65" s="204"/>
      <c r="DL65" s="204"/>
      <c r="DM65" s="204"/>
      <c r="DN65" s="204"/>
      <c r="DO65" s="204"/>
      <c r="DP65" s="204"/>
      <c r="DQ65" s="204"/>
      <c r="DR65" s="204"/>
      <c r="DS65" s="204"/>
      <c r="DT65" s="204"/>
      <c r="DU65" s="204"/>
      <c r="DV65" s="204"/>
      <c r="DW65" s="204"/>
      <c r="DX65" s="204"/>
      <c r="DY65" s="204"/>
      <c r="DZ65" s="204"/>
      <c r="EA65" s="204"/>
      <c r="EB65" s="204"/>
      <c r="EC65" s="204"/>
      <c r="ED65" s="204"/>
      <c r="EE65" s="204"/>
      <c r="EF65" s="204"/>
      <c r="EG65" s="204"/>
      <c r="EH65" s="250">
        <f t="shared" si="27"/>
        <v>8048668.8399999999</v>
      </c>
      <c r="EI65" s="250">
        <f t="shared" si="18"/>
        <v>0</v>
      </c>
      <c r="EJ65" s="250">
        <f t="shared" si="18"/>
        <v>8048668.8399999999</v>
      </c>
      <c r="EK65" s="204">
        <f t="shared" si="10"/>
        <v>8048668.8399999999</v>
      </c>
      <c r="EL65" s="204">
        <f t="shared" si="24"/>
        <v>0</v>
      </c>
      <c r="EM65" s="204">
        <f t="shared" si="12"/>
        <v>3700.1100000003353</v>
      </c>
      <c r="EN65" s="204">
        <f t="shared" si="13"/>
        <v>0</v>
      </c>
      <c r="EO65" s="204">
        <f t="shared" si="14"/>
        <v>3700.1100000003353</v>
      </c>
      <c r="EP65" s="204"/>
      <c r="EQ65" s="55">
        <v>44764</v>
      </c>
      <c r="ER65" s="55">
        <v>44910</v>
      </c>
      <c r="ES65" s="18"/>
      <c r="ET65" s="47" t="s">
        <v>1211</v>
      </c>
      <c r="EU65" s="54" t="s">
        <v>1319</v>
      </c>
      <c r="EV65" s="18"/>
      <c r="EW65" s="18"/>
      <c r="EX65" s="54" t="s">
        <v>1351</v>
      </c>
      <c r="EY65" s="331">
        <f t="shared" si="15"/>
        <v>0.99954049422934099</v>
      </c>
      <c r="EZ65" s="332">
        <v>1</v>
      </c>
      <c r="FA65" s="336"/>
      <c r="FB65" s="336">
        <f t="shared" si="16"/>
        <v>-1</v>
      </c>
      <c r="FC65" s="337">
        <f t="shared" si="25"/>
        <v>0.99954049422934099</v>
      </c>
      <c r="FD65" s="338" t="s">
        <v>147</v>
      </c>
      <c r="FE65" s="47" t="s">
        <v>255</v>
      </c>
      <c r="FF65" s="47"/>
      <c r="FG65" s="47" t="s">
        <v>138</v>
      </c>
      <c r="FH65" s="47" t="s">
        <v>148</v>
      </c>
      <c r="FI65" s="25">
        <v>8000</v>
      </c>
      <c r="FJ65" s="260" t="s">
        <v>1295</v>
      </c>
    </row>
    <row r="66" spans="1:166" ht="135.75" hidden="1" customHeight="1">
      <c r="A66" s="15"/>
      <c r="B66" s="5" t="s">
        <v>289</v>
      </c>
      <c r="C66" s="56" t="s">
        <v>894</v>
      </c>
      <c r="D66" s="125" t="s">
        <v>1111</v>
      </c>
      <c r="E66" s="125"/>
      <c r="F66" s="47">
        <v>121635</v>
      </c>
      <c r="G66" s="18" t="s">
        <v>279</v>
      </c>
      <c r="H66" s="19">
        <f>10000000-37483.02</f>
        <v>9962516.9800000004</v>
      </c>
      <c r="I66" s="19">
        <v>9962516.9800000004</v>
      </c>
      <c r="J66" s="18" t="s">
        <v>253</v>
      </c>
      <c r="K66" s="18" t="s">
        <v>721</v>
      </c>
      <c r="L66" s="18" t="s">
        <v>736</v>
      </c>
      <c r="M66" s="47" t="s">
        <v>737</v>
      </c>
      <c r="N66" s="18" t="s">
        <v>738</v>
      </c>
      <c r="O66" s="47">
        <v>7226246623</v>
      </c>
      <c r="P66" s="207" t="s">
        <v>746</v>
      </c>
      <c r="Q66" s="21"/>
      <c r="R66" s="22"/>
      <c r="S66" s="22"/>
      <c r="T66" s="22"/>
      <c r="U66" s="22"/>
      <c r="V66" s="48">
        <v>44748</v>
      </c>
      <c r="W66" s="48">
        <v>44750</v>
      </c>
      <c r="X66" s="23">
        <v>8588376.7100000009</v>
      </c>
      <c r="Y66" s="23">
        <f t="shared" si="4"/>
        <v>9962516.9835999999</v>
      </c>
      <c r="Z66" s="23">
        <v>9962516.9800000004</v>
      </c>
      <c r="AA66" s="204">
        <f t="shared" si="9"/>
        <v>0</v>
      </c>
      <c r="AB66" s="204">
        <v>2988755.1</v>
      </c>
      <c r="AC66" s="204">
        <v>2988755.1</v>
      </c>
      <c r="AD66" s="204">
        <v>1970646.44</v>
      </c>
      <c r="AE66" s="204">
        <v>591193.93000000005</v>
      </c>
      <c r="AF66" s="50">
        <f t="shared" si="5"/>
        <v>1379452.5099999998</v>
      </c>
      <c r="AG66" s="253">
        <v>44876</v>
      </c>
      <c r="AH66" s="204">
        <v>1990642.35</v>
      </c>
      <c r="AI66" s="204">
        <v>597192.71</v>
      </c>
      <c r="AJ66" s="204">
        <f t="shared" si="6"/>
        <v>1393449.6400000001</v>
      </c>
      <c r="AK66" s="253">
        <v>44907</v>
      </c>
      <c r="AL66" s="50">
        <v>1237275.6399999999</v>
      </c>
      <c r="AM66" s="50">
        <v>371182.69</v>
      </c>
      <c r="AN66" s="204">
        <f t="shared" si="26"/>
        <v>866092.95</v>
      </c>
      <c r="AO66" s="253">
        <v>44907</v>
      </c>
      <c r="AP66" s="204">
        <v>91375.51</v>
      </c>
      <c r="AQ66" s="204">
        <v>27412.65</v>
      </c>
      <c r="AR66" s="204">
        <f>AP66-AQ66</f>
        <v>63962.859999999993</v>
      </c>
      <c r="AS66" s="253">
        <v>44907</v>
      </c>
      <c r="AT66" s="204">
        <v>852732.6</v>
      </c>
      <c r="AU66" s="204">
        <v>255819.78</v>
      </c>
      <c r="AV66" s="204">
        <f>AT66-AU66</f>
        <v>596912.81999999995</v>
      </c>
      <c r="AW66" s="249">
        <v>44971</v>
      </c>
      <c r="AX66" s="204">
        <v>2591824.7799999998</v>
      </c>
      <c r="AY66" s="204">
        <v>777547.44</v>
      </c>
      <c r="AZ66" s="204">
        <f>AX66-AY66</f>
        <v>1814277.3399999999</v>
      </c>
      <c r="BA66" s="249">
        <v>44974</v>
      </c>
      <c r="BB66" s="204">
        <v>1227458.73</v>
      </c>
      <c r="BC66" s="204">
        <v>368405.89</v>
      </c>
      <c r="BD66" s="204">
        <f>BB66-BC66</f>
        <v>859052.84</v>
      </c>
      <c r="BE66" s="249">
        <v>45009</v>
      </c>
      <c r="BF66" s="204"/>
      <c r="BG66" s="204"/>
      <c r="BH66" s="204"/>
      <c r="BI66" s="204"/>
      <c r="BJ66" s="204"/>
      <c r="BK66" s="204"/>
      <c r="BL66" s="204"/>
      <c r="BM66" s="204"/>
      <c r="BN66" s="204"/>
      <c r="BO66" s="204"/>
      <c r="BP66" s="204"/>
      <c r="BQ66" s="204"/>
      <c r="BR66" s="204"/>
      <c r="BS66" s="204"/>
      <c r="BT66" s="204"/>
      <c r="BU66" s="204"/>
      <c r="BV66" s="204"/>
      <c r="BW66" s="204"/>
      <c r="BX66" s="204"/>
      <c r="BY66" s="204"/>
      <c r="BZ66" s="204"/>
      <c r="CA66" s="204"/>
      <c r="CB66" s="204"/>
      <c r="CC66" s="204"/>
      <c r="CD66" s="204"/>
      <c r="CE66" s="204"/>
      <c r="CF66" s="204"/>
      <c r="CG66" s="204"/>
      <c r="CH66" s="204"/>
      <c r="CI66" s="204"/>
      <c r="CJ66" s="204"/>
      <c r="CK66" s="204"/>
      <c r="CL66" s="204"/>
      <c r="CM66" s="204"/>
      <c r="CN66" s="204"/>
      <c r="CO66" s="204"/>
      <c r="CP66" s="204"/>
      <c r="CQ66" s="204"/>
      <c r="CR66" s="204"/>
      <c r="CS66" s="204"/>
      <c r="CT66" s="204"/>
      <c r="CU66" s="204"/>
      <c r="CV66" s="204"/>
      <c r="CW66" s="204"/>
      <c r="CX66" s="204"/>
      <c r="CY66" s="204"/>
      <c r="CZ66" s="204"/>
      <c r="DA66" s="204"/>
      <c r="DB66" s="204"/>
      <c r="DC66" s="204"/>
      <c r="DD66" s="204"/>
      <c r="DE66" s="204"/>
      <c r="DF66" s="204"/>
      <c r="DG66" s="204"/>
      <c r="DH66" s="204"/>
      <c r="DI66" s="204"/>
      <c r="DJ66" s="204"/>
      <c r="DK66" s="204"/>
      <c r="DL66" s="204"/>
      <c r="DM66" s="204"/>
      <c r="DN66" s="204"/>
      <c r="DO66" s="204"/>
      <c r="DP66" s="204"/>
      <c r="DQ66" s="204"/>
      <c r="DR66" s="204"/>
      <c r="DS66" s="204"/>
      <c r="DT66" s="204"/>
      <c r="DU66" s="204"/>
      <c r="DV66" s="204"/>
      <c r="DW66" s="204"/>
      <c r="DX66" s="204"/>
      <c r="DY66" s="204"/>
      <c r="DZ66" s="204"/>
      <c r="EA66" s="204"/>
      <c r="EB66" s="204"/>
      <c r="EC66" s="204"/>
      <c r="ED66" s="204"/>
      <c r="EE66" s="204"/>
      <c r="EF66" s="204"/>
      <c r="EG66" s="204"/>
      <c r="EH66" s="250">
        <f t="shared" si="27"/>
        <v>9961956.0499999989</v>
      </c>
      <c r="EI66" s="250">
        <f t="shared" si="18"/>
        <v>2988755.0900000003</v>
      </c>
      <c r="EJ66" s="250">
        <f t="shared" si="18"/>
        <v>6973200.959999999</v>
      </c>
      <c r="EK66" s="204">
        <f t="shared" si="10"/>
        <v>9961956.0599999987</v>
      </c>
      <c r="EL66" s="204">
        <f t="shared" si="24"/>
        <v>9.9999997764825821E-3</v>
      </c>
      <c r="EM66" s="204">
        <f t="shared" si="12"/>
        <v>560.93000000156462</v>
      </c>
      <c r="EN66" s="204">
        <f t="shared" si="13"/>
        <v>2988755.09</v>
      </c>
      <c r="EO66" s="204">
        <f t="shared" si="14"/>
        <v>560.93000000156462</v>
      </c>
      <c r="EP66" s="204"/>
      <c r="EQ66" s="55">
        <v>44751</v>
      </c>
      <c r="ER66" s="55">
        <v>44910</v>
      </c>
      <c r="ES66" s="18"/>
      <c r="ET66" s="47" t="s">
        <v>1212</v>
      </c>
      <c r="EU66" s="18"/>
      <c r="EV66" s="18"/>
      <c r="EW66" s="18"/>
      <c r="EX66" s="18"/>
      <c r="EY66" s="331">
        <f t="shared" si="15"/>
        <v>0.99994369595543697</v>
      </c>
      <c r="EZ66" s="332">
        <v>1</v>
      </c>
      <c r="FA66" s="336"/>
      <c r="FB66" s="336">
        <f t="shared" si="16"/>
        <v>-1</v>
      </c>
      <c r="FC66" s="337">
        <f t="shared" si="25"/>
        <v>0.99994369695919938</v>
      </c>
      <c r="FD66" s="338" t="s">
        <v>147</v>
      </c>
      <c r="FE66" s="47" t="s">
        <v>280</v>
      </c>
      <c r="FF66" s="47"/>
      <c r="FG66" s="47" t="s">
        <v>159</v>
      </c>
      <c r="FH66" s="47" t="s">
        <v>146</v>
      </c>
      <c r="FI66" s="25">
        <v>2000</v>
      </c>
      <c r="FJ66" s="199" t="s">
        <v>1233</v>
      </c>
    </row>
    <row r="67" spans="1:166" ht="263.25" hidden="1" customHeight="1">
      <c r="A67" s="15" t="s">
        <v>131</v>
      </c>
      <c r="B67" s="5" t="s">
        <v>289</v>
      </c>
      <c r="C67" s="56" t="s">
        <v>957</v>
      </c>
      <c r="D67" s="125" t="s">
        <v>1111</v>
      </c>
      <c r="E67" s="125"/>
      <c r="F67" s="47">
        <v>121638</v>
      </c>
      <c r="G67" s="18" t="s">
        <v>1309</v>
      </c>
      <c r="H67" s="19">
        <f>12000000-66698.64</f>
        <v>11933301.359999999</v>
      </c>
      <c r="I67" s="19">
        <v>11933301.359999999</v>
      </c>
      <c r="J67" s="18" t="s">
        <v>253</v>
      </c>
      <c r="K67" s="18" t="s">
        <v>826</v>
      </c>
      <c r="L67" s="18" t="s">
        <v>827</v>
      </c>
      <c r="M67" s="47" t="s">
        <v>828</v>
      </c>
      <c r="N67" s="18" t="s">
        <v>829</v>
      </c>
      <c r="O67" s="47">
        <v>5591090249</v>
      </c>
      <c r="P67" s="207" t="s">
        <v>830</v>
      </c>
      <c r="Q67" s="21"/>
      <c r="R67" s="22"/>
      <c r="S67" s="22"/>
      <c r="T67" s="22"/>
      <c r="U67" s="22"/>
      <c r="V67" s="48">
        <v>44768</v>
      </c>
      <c r="W67" s="48">
        <v>44769</v>
      </c>
      <c r="X67" s="23">
        <v>10287328.76</v>
      </c>
      <c r="Y67" s="23">
        <f t="shared" si="4"/>
        <v>11933301.361599999</v>
      </c>
      <c r="Z67" s="23">
        <v>11933301.359999999</v>
      </c>
      <c r="AA67" s="204">
        <f t="shared" si="9"/>
        <v>0</v>
      </c>
      <c r="AB67" s="204">
        <v>3579990.41</v>
      </c>
      <c r="AC67" s="204">
        <v>3579990.41</v>
      </c>
      <c r="AD67" s="204">
        <v>0</v>
      </c>
      <c r="AE67" s="204"/>
      <c r="AF67" s="50">
        <f t="shared" si="5"/>
        <v>0</v>
      </c>
      <c r="AG67" s="253"/>
      <c r="AH67" s="204"/>
      <c r="AI67" s="204"/>
      <c r="AJ67" s="204">
        <f t="shared" si="6"/>
        <v>0</v>
      </c>
      <c r="AK67" s="253"/>
      <c r="AL67" s="50"/>
      <c r="AM67" s="254"/>
      <c r="AN67" s="204">
        <f t="shared" si="26"/>
        <v>0</v>
      </c>
      <c r="AO67" s="253"/>
      <c r="AP67" s="204"/>
      <c r="AQ67" s="204"/>
      <c r="AR67" s="204">
        <f t="shared" si="28"/>
        <v>0</v>
      </c>
      <c r="AS67" s="253"/>
      <c r="AT67" s="204"/>
      <c r="AU67" s="204"/>
      <c r="AV67" s="204"/>
      <c r="AW67" s="249"/>
      <c r="AX67" s="204"/>
      <c r="AY67" s="204"/>
      <c r="AZ67" s="204"/>
      <c r="BA67" s="204"/>
      <c r="BB67" s="204"/>
      <c r="BC67" s="204"/>
      <c r="BD67" s="204"/>
      <c r="BE67" s="204"/>
      <c r="BF67" s="204"/>
      <c r="BG67" s="204"/>
      <c r="BH67" s="204"/>
      <c r="BI67" s="204"/>
      <c r="BJ67" s="204"/>
      <c r="BK67" s="204"/>
      <c r="BL67" s="204"/>
      <c r="BM67" s="204"/>
      <c r="BN67" s="204"/>
      <c r="BO67" s="204"/>
      <c r="BP67" s="204"/>
      <c r="BQ67" s="204"/>
      <c r="BR67" s="204"/>
      <c r="BS67" s="204"/>
      <c r="BT67" s="204"/>
      <c r="BU67" s="204"/>
      <c r="BV67" s="204"/>
      <c r="BW67" s="204"/>
      <c r="BX67" s="204"/>
      <c r="BY67" s="204"/>
      <c r="BZ67" s="204"/>
      <c r="CA67" s="204"/>
      <c r="CB67" s="204"/>
      <c r="CC67" s="204"/>
      <c r="CD67" s="204"/>
      <c r="CE67" s="204"/>
      <c r="CF67" s="204"/>
      <c r="CG67" s="204"/>
      <c r="CH67" s="204"/>
      <c r="CI67" s="204"/>
      <c r="CJ67" s="204"/>
      <c r="CK67" s="204"/>
      <c r="CL67" s="204"/>
      <c r="CM67" s="204"/>
      <c r="CN67" s="204"/>
      <c r="CO67" s="204"/>
      <c r="CP67" s="204"/>
      <c r="CQ67" s="204"/>
      <c r="CR67" s="204"/>
      <c r="CS67" s="204"/>
      <c r="CT67" s="204"/>
      <c r="CU67" s="204"/>
      <c r="CV67" s="204"/>
      <c r="CW67" s="204"/>
      <c r="CX67" s="204"/>
      <c r="CY67" s="204"/>
      <c r="CZ67" s="204"/>
      <c r="DA67" s="204"/>
      <c r="DB67" s="204"/>
      <c r="DC67" s="204"/>
      <c r="DD67" s="204"/>
      <c r="DE67" s="204"/>
      <c r="DF67" s="204"/>
      <c r="DG67" s="204"/>
      <c r="DH67" s="204"/>
      <c r="DI67" s="204"/>
      <c r="DJ67" s="204"/>
      <c r="DK67" s="204"/>
      <c r="DL67" s="204"/>
      <c r="DM67" s="204"/>
      <c r="DN67" s="204"/>
      <c r="DO67" s="204"/>
      <c r="DP67" s="204"/>
      <c r="DQ67" s="204"/>
      <c r="DR67" s="204"/>
      <c r="DS67" s="204"/>
      <c r="DT67" s="204"/>
      <c r="DU67" s="204"/>
      <c r="DV67" s="204"/>
      <c r="DW67" s="204"/>
      <c r="DX67" s="204"/>
      <c r="DY67" s="204"/>
      <c r="DZ67" s="204"/>
      <c r="EA67" s="204"/>
      <c r="EB67" s="204"/>
      <c r="EC67" s="204"/>
      <c r="ED67" s="204"/>
      <c r="EE67" s="204"/>
      <c r="EF67" s="204"/>
      <c r="EG67" s="204"/>
      <c r="EH67" s="250">
        <f t="shared" si="27"/>
        <v>0</v>
      </c>
      <c r="EI67" s="250">
        <f t="shared" si="18"/>
        <v>0</v>
      </c>
      <c r="EJ67" s="250">
        <f t="shared" si="18"/>
        <v>0</v>
      </c>
      <c r="EK67" s="204">
        <f t="shared" si="10"/>
        <v>3579990.41</v>
      </c>
      <c r="EL67" s="204">
        <f t="shared" si="24"/>
        <v>3579990.41</v>
      </c>
      <c r="EM67" s="204">
        <f t="shared" si="12"/>
        <v>11933301.359999999</v>
      </c>
      <c r="EN67" s="204">
        <f t="shared" si="13"/>
        <v>0</v>
      </c>
      <c r="EO67" s="204">
        <f t="shared" si="14"/>
        <v>11933301.359999999</v>
      </c>
      <c r="EP67" s="204"/>
      <c r="EQ67" s="55">
        <v>44770</v>
      </c>
      <c r="ER67" s="55">
        <v>44910</v>
      </c>
      <c r="ES67" s="18"/>
      <c r="ET67" s="47" t="s">
        <v>1066</v>
      </c>
      <c r="EU67" s="47" t="s">
        <v>1082</v>
      </c>
      <c r="EV67" s="54">
        <v>44865</v>
      </c>
      <c r="EW67" s="18"/>
      <c r="EX67" s="18"/>
      <c r="EY67" s="331">
        <f t="shared" si="15"/>
        <v>0</v>
      </c>
      <c r="EZ67" s="332">
        <v>0.05</v>
      </c>
      <c r="FA67" s="336"/>
      <c r="FB67" s="336">
        <f t="shared" si="16"/>
        <v>-0.05</v>
      </c>
      <c r="FC67" s="337">
        <f t="shared" si="25"/>
        <v>0.30000000016759826</v>
      </c>
      <c r="FD67" s="338" t="s">
        <v>307</v>
      </c>
      <c r="FE67" s="47" t="s">
        <v>281</v>
      </c>
      <c r="FF67" s="47"/>
      <c r="FG67" s="47" t="s">
        <v>157</v>
      </c>
      <c r="FH67" s="47" t="s">
        <v>146</v>
      </c>
      <c r="FI67" s="25">
        <v>2500</v>
      </c>
      <c r="FJ67" s="199" t="s">
        <v>1213</v>
      </c>
    </row>
    <row r="68" spans="1:166" ht="135.75" hidden="1" customHeight="1">
      <c r="A68" s="15"/>
      <c r="B68" s="5" t="s">
        <v>289</v>
      </c>
      <c r="C68" s="56" t="s">
        <v>959</v>
      </c>
      <c r="D68" s="125" t="s">
        <v>1111</v>
      </c>
      <c r="E68" s="125"/>
      <c r="F68" s="47">
        <v>121639</v>
      </c>
      <c r="G68" s="18" t="s">
        <v>282</v>
      </c>
      <c r="H68" s="19">
        <f>15000000-5431060.3</f>
        <v>9568939.6999999993</v>
      </c>
      <c r="I68" s="19">
        <v>9568939.6999999993</v>
      </c>
      <c r="J68" s="18" t="s">
        <v>253</v>
      </c>
      <c r="K68" s="18" t="s">
        <v>179</v>
      </c>
      <c r="L68" s="18" t="s">
        <v>679</v>
      </c>
      <c r="M68" s="47" t="s">
        <v>180</v>
      </c>
      <c r="N68" s="18" t="s">
        <v>739</v>
      </c>
      <c r="O68" s="47">
        <v>5567217727</v>
      </c>
      <c r="P68" s="207" t="s">
        <v>759</v>
      </c>
      <c r="Q68" s="21"/>
      <c r="R68" s="22"/>
      <c r="S68" s="22"/>
      <c r="T68" s="22"/>
      <c r="U68" s="22"/>
      <c r="V68" s="48">
        <v>44748</v>
      </c>
      <c r="W68" s="48">
        <v>44750</v>
      </c>
      <c r="X68" s="23">
        <v>8249085.9500000002</v>
      </c>
      <c r="Y68" s="23">
        <f t="shared" si="4"/>
        <v>9568939.7019999996</v>
      </c>
      <c r="Z68" s="23">
        <v>9568939.6999999993</v>
      </c>
      <c r="AA68" s="204">
        <f t="shared" si="9"/>
        <v>0</v>
      </c>
      <c r="AB68" s="204">
        <v>2870681.91</v>
      </c>
      <c r="AC68" s="204">
        <v>2870681.91</v>
      </c>
      <c r="AD68" s="204">
        <v>933686.64</v>
      </c>
      <c r="AE68" s="204">
        <v>280105.99</v>
      </c>
      <c r="AF68" s="50">
        <f t="shared" si="5"/>
        <v>653580.65</v>
      </c>
      <c r="AG68" s="253">
        <v>44866</v>
      </c>
      <c r="AH68" s="204">
        <v>1053431.1200000001</v>
      </c>
      <c r="AI68" s="204">
        <v>316029.34000000003</v>
      </c>
      <c r="AJ68" s="204">
        <f t="shared" si="6"/>
        <v>737401.78</v>
      </c>
      <c r="AK68" s="253">
        <v>44866</v>
      </c>
      <c r="AL68" s="204">
        <v>1187892.04</v>
      </c>
      <c r="AM68" s="204">
        <v>357281.44</v>
      </c>
      <c r="AN68" s="204">
        <f t="shared" si="26"/>
        <v>830610.60000000009</v>
      </c>
      <c r="AO68" s="253">
        <v>44888</v>
      </c>
      <c r="AP68" s="204">
        <v>3140544.85</v>
      </c>
      <c r="AQ68" s="204">
        <v>942163.46</v>
      </c>
      <c r="AR68" s="204">
        <f t="shared" si="28"/>
        <v>2198381.39</v>
      </c>
      <c r="AS68" s="253">
        <v>44911</v>
      </c>
      <c r="AT68" s="204">
        <v>3251329.22</v>
      </c>
      <c r="AU68" s="204">
        <v>975101.68</v>
      </c>
      <c r="AV68" s="204">
        <f t="shared" ref="AV68:AV74" si="29">AT68-AU68</f>
        <v>2276227.54</v>
      </c>
      <c r="AW68" s="253">
        <v>44923</v>
      </c>
      <c r="AX68" s="204">
        <v>1229.82</v>
      </c>
      <c r="AY68" s="204">
        <v>0</v>
      </c>
      <c r="AZ68" s="204">
        <f>AX68-AY68</f>
        <v>1229.82</v>
      </c>
      <c r="BA68" s="204" t="s">
        <v>305</v>
      </c>
      <c r="BB68" s="204"/>
      <c r="BC68" s="204"/>
      <c r="BD68" s="204"/>
      <c r="BE68" s="204"/>
      <c r="BF68" s="204"/>
      <c r="BG68" s="204"/>
      <c r="BH68" s="204"/>
      <c r="BI68" s="204"/>
      <c r="BJ68" s="204"/>
      <c r="BK68" s="204"/>
      <c r="BL68" s="204"/>
      <c r="BM68" s="204"/>
      <c r="BN68" s="204"/>
      <c r="BO68" s="204"/>
      <c r="BP68" s="204"/>
      <c r="BQ68" s="204"/>
      <c r="BR68" s="204"/>
      <c r="BS68" s="204"/>
      <c r="BT68" s="204"/>
      <c r="BU68" s="204"/>
      <c r="BV68" s="204"/>
      <c r="BW68" s="204"/>
      <c r="BX68" s="204"/>
      <c r="BY68" s="204"/>
      <c r="BZ68" s="204"/>
      <c r="CA68" s="204"/>
      <c r="CB68" s="204"/>
      <c r="CC68" s="204"/>
      <c r="CD68" s="204"/>
      <c r="CE68" s="204"/>
      <c r="CF68" s="204"/>
      <c r="CG68" s="204"/>
      <c r="CH68" s="204"/>
      <c r="CI68" s="204"/>
      <c r="CJ68" s="204"/>
      <c r="CK68" s="204"/>
      <c r="CL68" s="204"/>
      <c r="CM68" s="204"/>
      <c r="CN68" s="204"/>
      <c r="CO68" s="204"/>
      <c r="CP68" s="204"/>
      <c r="CQ68" s="204"/>
      <c r="CR68" s="204"/>
      <c r="CS68" s="204"/>
      <c r="CT68" s="204"/>
      <c r="CU68" s="204"/>
      <c r="CV68" s="204"/>
      <c r="CW68" s="204"/>
      <c r="CX68" s="204"/>
      <c r="CY68" s="204"/>
      <c r="CZ68" s="204"/>
      <c r="DA68" s="204"/>
      <c r="DB68" s="204"/>
      <c r="DC68" s="204"/>
      <c r="DD68" s="204"/>
      <c r="DE68" s="204"/>
      <c r="DF68" s="204"/>
      <c r="DG68" s="204"/>
      <c r="DH68" s="204"/>
      <c r="DI68" s="204"/>
      <c r="DJ68" s="204"/>
      <c r="DK68" s="204"/>
      <c r="DL68" s="204"/>
      <c r="DM68" s="204"/>
      <c r="DN68" s="204"/>
      <c r="DO68" s="204"/>
      <c r="DP68" s="204"/>
      <c r="DQ68" s="204"/>
      <c r="DR68" s="204"/>
      <c r="DS68" s="204"/>
      <c r="DT68" s="204"/>
      <c r="DU68" s="204"/>
      <c r="DV68" s="204"/>
      <c r="DW68" s="204"/>
      <c r="DX68" s="204"/>
      <c r="DY68" s="204"/>
      <c r="DZ68" s="204"/>
      <c r="EA68" s="204"/>
      <c r="EB68" s="204"/>
      <c r="EC68" s="204"/>
      <c r="ED68" s="204"/>
      <c r="EE68" s="204"/>
      <c r="EF68" s="204"/>
      <c r="EG68" s="204"/>
      <c r="EH68" s="250">
        <f t="shared" si="27"/>
        <v>9568113.6900000013</v>
      </c>
      <c r="EI68" s="250">
        <f t="shared" si="18"/>
        <v>2870681.91</v>
      </c>
      <c r="EJ68" s="250">
        <f t="shared" si="18"/>
        <v>6697431.7800000003</v>
      </c>
      <c r="EK68" s="204">
        <f t="shared" si="10"/>
        <v>9568113.6900000013</v>
      </c>
      <c r="EL68" s="204">
        <f t="shared" si="24"/>
        <v>0</v>
      </c>
      <c r="EM68" s="204">
        <f t="shared" si="12"/>
        <v>826.00999999791384</v>
      </c>
      <c r="EN68" s="204">
        <f t="shared" si="13"/>
        <v>2870681.9100000011</v>
      </c>
      <c r="EO68" s="204">
        <f t="shared" si="14"/>
        <v>826.00999999791384</v>
      </c>
      <c r="EP68" s="204"/>
      <c r="EQ68" s="55">
        <v>44751</v>
      </c>
      <c r="ER68" s="55">
        <v>44910</v>
      </c>
      <c r="ES68" s="18"/>
      <c r="ET68" s="18"/>
      <c r="EU68" s="18"/>
      <c r="EV68" s="18"/>
      <c r="EW68" s="18"/>
      <c r="EX68" s="18"/>
      <c r="EY68" s="331">
        <f t="shared" si="15"/>
        <v>0.99991367800133613</v>
      </c>
      <c r="EZ68" s="332">
        <v>1</v>
      </c>
      <c r="FA68" s="336"/>
      <c r="FB68" s="336">
        <f t="shared" si="16"/>
        <v>-1</v>
      </c>
      <c r="FC68" s="337">
        <f t="shared" si="25"/>
        <v>0.99991367800133613</v>
      </c>
      <c r="FD68" s="338" t="s">
        <v>147</v>
      </c>
      <c r="FE68" s="47" t="s">
        <v>181</v>
      </c>
      <c r="FF68" s="47"/>
      <c r="FG68" s="47" t="s">
        <v>159</v>
      </c>
      <c r="FH68" s="47" t="s">
        <v>146</v>
      </c>
      <c r="FI68" s="25">
        <v>4200</v>
      </c>
      <c r="FJ68" s="199" t="s">
        <v>1193</v>
      </c>
    </row>
    <row r="69" spans="1:166" ht="267.75" hidden="1" customHeight="1">
      <c r="A69" s="15">
        <v>5</v>
      </c>
      <c r="B69" s="5" t="s">
        <v>289</v>
      </c>
      <c r="C69" s="56" t="s">
        <v>893</v>
      </c>
      <c r="D69" s="125" t="s">
        <v>1111</v>
      </c>
      <c r="E69" s="125"/>
      <c r="F69" s="47">
        <v>121640</v>
      </c>
      <c r="G69" s="18" t="s">
        <v>283</v>
      </c>
      <c r="H69" s="19">
        <f>18000000-2112308.54</f>
        <v>15887691.460000001</v>
      </c>
      <c r="I69" s="19">
        <v>15887691.460000001</v>
      </c>
      <c r="J69" s="18" t="s">
        <v>253</v>
      </c>
      <c r="K69" s="18" t="s">
        <v>763</v>
      </c>
      <c r="L69" s="18" t="s">
        <v>308</v>
      </c>
      <c r="M69" s="47" t="s">
        <v>764</v>
      </c>
      <c r="N69" s="18" t="s">
        <v>765</v>
      </c>
      <c r="O69" s="47">
        <v>5558540753</v>
      </c>
      <c r="P69" s="207" t="s">
        <v>766</v>
      </c>
      <c r="Q69" s="21"/>
      <c r="R69" s="22"/>
      <c r="S69" s="22"/>
      <c r="T69" s="22"/>
      <c r="U69" s="22"/>
      <c r="V69" s="48">
        <v>44755</v>
      </c>
      <c r="W69" s="48">
        <v>44757</v>
      </c>
      <c r="X69" s="23">
        <v>13696285.74</v>
      </c>
      <c r="Y69" s="23">
        <f t="shared" si="4"/>
        <v>15887691.4584</v>
      </c>
      <c r="Z69" s="23">
        <v>15887691.460000001</v>
      </c>
      <c r="AA69" s="204">
        <f t="shared" si="9"/>
        <v>0</v>
      </c>
      <c r="AB69" s="204">
        <v>0</v>
      </c>
      <c r="AC69" s="204">
        <v>0</v>
      </c>
      <c r="AD69" s="204">
        <v>1039711.57</v>
      </c>
      <c r="AE69" s="204">
        <v>0</v>
      </c>
      <c r="AF69" s="50">
        <f t="shared" si="5"/>
        <v>1039711.57</v>
      </c>
      <c r="AG69" s="253">
        <v>44812</v>
      </c>
      <c r="AH69" s="204">
        <v>821950.21</v>
      </c>
      <c r="AI69" s="204">
        <v>0</v>
      </c>
      <c r="AJ69" s="204">
        <f t="shared" si="6"/>
        <v>821950.21</v>
      </c>
      <c r="AK69" s="253">
        <v>44900</v>
      </c>
      <c r="AL69" s="50">
        <v>1596860.45</v>
      </c>
      <c r="AM69" s="254">
        <v>0</v>
      </c>
      <c r="AN69" s="204">
        <f t="shared" si="26"/>
        <v>1596860.45</v>
      </c>
      <c r="AO69" s="253">
        <v>44902</v>
      </c>
      <c r="AP69" s="204">
        <v>693536.23</v>
      </c>
      <c r="AQ69" s="204">
        <v>0</v>
      </c>
      <c r="AR69" s="204">
        <f t="shared" si="28"/>
        <v>693536.23</v>
      </c>
      <c r="AS69" s="253">
        <v>44922</v>
      </c>
      <c r="AT69" s="204">
        <v>492158.1</v>
      </c>
      <c r="AU69" s="204">
        <v>0</v>
      </c>
      <c r="AV69" s="204">
        <f t="shared" si="29"/>
        <v>492158.1</v>
      </c>
      <c r="AW69" s="249">
        <v>44981</v>
      </c>
      <c r="AX69" s="204">
        <v>1042206.62</v>
      </c>
      <c r="AY69" s="204">
        <v>0</v>
      </c>
      <c r="AZ69" s="204">
        <f>AX69-AY69</f>
        <v>1042206.62</v>
      </c>
      <c r="BA69" s="249">
        <v>45006</v>
      </c>
      <c r="BB69" s="204">
        <v>2186653.34</v>
      </c>
      <c r="BC69" s="204">
        <v>0</v>
      </c>
      <c r="BD69" s="204">
        <f>BB69-BC69</f>
        <v>2186653.34</v>
      </c>
      <c r="BE69" s="249">
        <v>44989</v>
      </c>
      <c r="BF69" s="204">
        <v>7374880.1500000004</v>
      </c>
      <c r="BG69" s="204">
        <v>0</v>
      </c>
      <c r="BH69" s="204">
        <f>BF69-BG69</f>
        <v>7374880.1500000004</v>
      </c>
      <c r="BI69" s="249">
        <v>45027</v>
      </c>
      <c r="BJ69" s="204">
        <v>0</v>
      </c>
      <c r="BK69" s="204">
        <v>0</v>
      </c>
      <c r="BL69" s="204">
        <f>BJ69-BK69</f>
        <v>0</v>
      </c>
      <c r="BM69" s="204"/>
      <c r="BN69" s="204"/>
      <c r="BO69" s="204"/>
      <c r="BP69" s="204"/>
      <c r="BQ69" s="204"/>
      <c r="BR69" s="204"/>
      <c r="BS69" s="204"/>
      <c r="BT69" s="204"/>
      <c r="BU69" s="204"/>
      <c r="BV69" s="204"/>
      <c r="BW69" s="204"/>
      <c r="BX69" s="204"/>
      <c r="BY69" s="204"/>
      <c r="BZ69" s="204"/>
      <c r="CA69" s="204"/>
      <c r="CB69" s="204"/>
      <c r="CC69" s="204"/>
      <c r="CD69" s="204"/>
      <c r="CE69" s="204"/>
      <c r="CF69" s="204"/>
      <c r="CG69" s="204"/>
      <c r="CH69" s="204"/>
      <c r="CI69" s="204"/>
      <c r="CJ69" s="204"/>
      <c r="CK69" s="204"/>
      <c r="CL69" s="204"/>
      <c r="CM69" s="204"/>
      <c r="CN69" s="204"/>
      <c r="CO69" s="204"/>
      <c r="CP69" s="204"/>
      <c r="CQ69" s="204"/>
      <c r="CR69" s="204"/>
      <c r="CS69" s="204"/>
      <c r="CT69" s="204"/>
      <c r="CU69" s="204"/>
      <c r="CV69" s="204"/>
      <c r="CW69" s="204"/>
      <c r="CX69" s="204"/>
      <c r="CY69" s="204"/>
      <c r="CZ69" s="204"/>
      <c r="DA69" s="204"/>
      <c r="DB69" s="204"/>
      <c r="DC69" s="204"/>
      <c r="DD69" s="204"/>
      <c r="DE69" s="204"/>
      <c r="DF69" s="204"/>
      <c r="DG69" s="204"/>
      <c r="DH69" s="204"/>
      <c r="DI69" s="204"/>
      <c r="DJ69" s="204"/>
      <c r="DK69" s="204"/>
      <c r="DL69" s="204"/>
      <c r="DM69" s="204"/>
      <c r="DN69" s="204"/>
      <c r="DO69" s="204"/>
      <c r="DP69" s="204"/>
      <c r="DQ69" s="204"/>
      <c r="DR69" s="204"/>
      <c r="DS69" s="204"/>
      <c r="DT69" s="204"/>
      <c r="DU69" s="204"/>
      <c r="DV69" s="204"/>
      <c r="DW69" s="204"/>
      <c r="DX69" s="204"/>
      <c r="DY69" s="204"/>
      <c r="DZ69" s="204"/>
      <c r="EA69" s="204"/>
      <c r="EB69" s="204"/>
      <c r="EC69" s="204"/>
      <c r="ED69" s="204"/>
      <c r="EE69" s="204"/>
      <c r="EF69" s="204"/>
      <c r="EG69" s="204"/>
      <c r="EH69" s="250">
        <f t="shared" si="27"/>
        <v>15247956.67</v>
      </c>
      <c r="EI69" s="250">
        <f t="shared" si="18"/>
        <v>0</v>
      </c>
      <c r="EJ69" s="250">
        <f t="shared" si="18"/>
        <v>15247956.67</v>
      </c>
      <c r="EK69" s="204">
        <f t="shared" si="10"/>
        <v>15247956.67</v>
      </c>
      <c r="EL69" s="204">
        <f t="shared" si="24"/>
        <v>0</v>
      </c>
      <c r="EM69" s="204">
        <f t="shared" si="12"/>
        <v>639734.79000000097</v>
      </c>
      <c r="EN69" s="204">
        <f t="shared" si="13"/>
        <v>0</v>
      </c>
      <c r="EO69" s="204">
        <f t="shared" si="14"/>
        <v>639734.79000000097</v>
      </c>
      <c r="EP69" s="204"/>
      <c r="EQ69" s="55">
        <v>44760</v>
      </c>
      <c r="ER69" s="55">
        <v>44909</v>
      </c>
      <c r="ES69" s="18"/>
      <c r="ET69" s="47" t="s">
        <v>1305</v>
      </c>
      <c r="EU69" s="47" t="s">
        <v>1259</v>
      </c>
      <c r="EV69" s="18"/>
      <c r="EW69" s="18"/>
      <c r="EX69" s="18"/>
      <c r="EY69" s="331">
        <f t="shared" si="15"/>
        <v>0.95973393670121032</v>
      </c>
      <c r="EZ69" s="332">
        <v>1</v>
      </c>
      <c r="FA69" s="336"/>
      <c r="FB69" s="336">
        <f t="shared" si="16"/>
        <v>-1</v>
      </c>
      <c r="FC69" s="337">
        <f t="shared" si="25"/>
        <v>0.95973393670121032</v>
      </c>
      <c r="FD69" s="338" t="s">
        <v>147</v>
      </c>
      <c r="FE69" s="47" t="s">
        <v>271</v>
      </c>
      <c r="FF69" s="47"/>
      <c r="FG69" s="47" t="s">
        <v>157</v>
      </c>
      <c r="FH69" s="47" t="s">
        <v>146</v>
      </c>
      <c r="FI69" s="305">
        <v>3250</v>
      </c>
      <c r="FJ69" s="199" t="s">
        <v>1306</v>
      </c>
    </row>
    <row r="70" spans="1:166" ht="209.25" hidden="1" customHeight="1">
      <c r="A70" s="15"/>
      <c r="B70" s="5" t="s">
        <v>289</v>
      </c>
      <c r="C70" s="56" t="s">
        <v>894</v>
      </c>
      <c r="D70" s="125" t="s">
        <v>1111</v>
      </c>
      <c r="E70" s="125"/>
      <c r="F70" s="47">
        <v>121644</v>
      </c>
      <c r="G70" s="18" t="s">
        <v>284</v>
      </c>
      <c r="H70" s="19">
        <f>5000000-570.43</f>
        <v>4999429.57</v>
      </c>
      <c r="I70" s="19">
        <v>4999429.57</v>
      </c>
      <c r="J70" s="18" t="s">
        <v>253</v>
      </c>
      <c r="K70" s="18" t="s">
        <v>780</v>
      </c>
      <c r="L70" s="18" t="s">
        <v>781</v>
      </c>
      <c r="M70" s="47" t="s">
        <v>782</v>
      </c>
      <c r="N70" s="18" t="s">
        <v>783</v>
      </c>
      <c r="O70" s="47">
        <v>5553632043</v>
      </c>
      <c r="P70" s="18" t="s">
        <v>836</v>
      </c>
      <c r="Q70" s="21"/>
      <c r="R70" s="22"/>
      <c r="S70" s="22"/>
      <c r="T70" s="22"/>
      <c r="U70" s="22"/>
      <c r="V70" s="48">
        <v>44762</v>
      </c>
      <c r="W70" s="48">
        <v>44764</v>
      </c>
      <c r="X70" s="23">
        <v>4309853.08</v>
      </c>
      <c r="Y70" s="23">
        <f t="shared" si="4"/>
        <v>4999429.5728000002</v>
      </c>
      <c r="Z70" s="23">
        <v>4999429.57</v>
      </c>
      <c r="AA70" s="204">
        <f t="shared" si="9"/>
        <v>0</v>
      </c>
      <c r="AB70" s="204">
        <v>0</v>
      </c>
      <c r="AC70" s="204">
        <v>0</v>
      </c>
      <c r="AD70" s="204">
        <v>2274333.77</v>
      </c>
      <c r="AE70" s="204">
        <v>0</v>
      </c>
      <c r="AF70" s="50">
        <f t="shared" si="5"/>
        <v>2274333.77</v>
      </c>
      <c r="AG70" s="253">
        <v>44833</v>
      </c>
      <c r="AH70" s="204">
        <v>877981.44</v>
      </c>
      <c r="AI70" s="204">
        <v>0</v>
      </c>
      <c r="AJ70" s="204">
        <f t="shared" si="6"/>
        <v>877981.44</v>
      </c>
      <c r="AK70" s="253">
        <v>44902</v>
      </c>
      <c r="AL70" s="50">
        <v>457535.55</v>
      </c>
      <c r="AM70" s="254">
        <v>0</v>
      </c>
      <c r="AN70" s="204">
        <f t="shared" si="26"/>
        <v>457535.55</v>
      </c>
      <c r="AO70" s="253">
        <v>44924</v>
      </c>
      <c r="AP70" s="204">
        <v>828873.73</v>
      </c>
      <c r="AQ70" s="204">
        <v>0</v>
      </c>
      <c r="AR70" s="204">
        <f t="shared" si="28"/>
        <v>828873.73</v>
      </c>
      <c r="AS70" s="253">
        <v>44924</v>
      </c>
      <c r="AT70" s="392">
        <v>-167772.84</v>
      </c>
      <c r="AU70" s="392">
        <v>0</v>
      </c>
      <c r="AV70" s="392">
        <f t="shared" si="29"/>
        <v>-167772.84</v>
      </c>
      <c r="AW70" s="249" t="s">
        <v>305</v>
      </c>
      <c r="AX70" s="204"/>
      <c r="AY70" s="204"/>
      <c r="AZ70" s="204"/>
      <c r="BA70" s="204"/>
      <c r="BB70" s="204"/>
      <c r="BC70" s="204"/>
      <c r="BD70" s="204"/>
      <c r="BE70" s="204"/>
      <c r="BF70" s="204"/>
      <c r="BG70" s="204"/>
      <c r="BH70" s="204"/>
      <c r="BI70" s="204"/>
      <c r="BJ70" s="204"/>
      <c r="BK70" s="204"/>
      <c r="BL70" s="204"/>
      <c r="BM70" s="204"/>
      <c r="BN70" s="204"/>
      <c r="BO70" s="204"/>
      <c r="BP70" s="204"/>
      <c r="BQ70" s="204"/>
      <c r="BR70" s="204"/>
      <c r="BS70" s="204"/>
      <c r="BT70" s="204"/>
      <c r="BU70" s="204"/>
      <c r="BV70" s="204"/>
      <c r="BW70" s="204"/>
      <c r="BX70" s="204"/>
      <c r="BY70" s="204"/>
      <c r="BZ70" s="204"/>
      <c r="CA70" s="204"/>
      <c r="CB70" s="204"/>
      <c r="CC70" s="204"/>
      <c r="CD70" s="204"/>
      <c r="CE70" s="204"/>
      <c r="CF70" s="204"/>
      <c r="CG70" s="204"/>
      <c r="CH70" s="204"/>
      <c r="CI70" s="204"/>
      <c r="CJ70" s="204"/>
      <c r="CK70" s="204"/>
      <c r="CL70" s="204"/>
      <c r="CM70" s="204"/>
      <c r="CN70" s="204"/>
      <c r="CO70" s="204"/>
      <c r="CP70" s="204"/>
      <c r="CQ70" s="204"/>
      <c r="CR70" s="204"/>
      <c r="CS70" s="204"/>
      <c r="CT70" s="204"/>
      <c r="CU70" s="204"/>
      <c r="CV70" s="204"/>
      <c r="CW70" s="204"/>
      <c r="CX70" s="204"/>
      <c r="CY70" s="204"/>
      <c r="CZ70" s="204"/>
      <c r="DA70" s="204"/>
      <c r="DB70" s="204"/>
      <c r="DC70" s="204"/>
      <c r="DD70" s="204"/>
      <c r="DE70" s="204"/>
      <c r="DF70" s="204"/>
      <c r="DG70" s="204"/>
      <c r="DH70" s="204"/>
      <c r="DI70" s="204"/>
      <c r="DJ70" s="204"/>
      <c r="DK70" s="204"/>
      <c r="DL70" s="204"/>
      <c r="DM70" s="204"/>
      <c r="DN70" s="204"/>
      <c r="DO70" s="204"/>
      <c r="DP70" s="204"/>
      <c r="DQ70" s="204"/>
      <c r="DR70" s="204"/>
      <c r="DS70" s="204"/>
      <c r="DT70" s="204"/>
      <c r="DU70" s="204"/>
      <c r="DV70" s="204"/>
      <c r="DW70" s="204"/>
      <c r="DX70" s="204"/>
      <c r="DY70" s="204"/>
      <c r="DZ70" s="204"/>
      <c r="EA70" s="204"/>
      <c r="EB70" s="204"/>
      <c r="EC70" s="204"/>
      <c r="ED70" s="204"/>
      <c r="EE70" s="204"/>
      <c r="EF70" s="204"/>
      <c r="EG70" s="204"/>
      <c r="EH70" s="250">
        <f t="shared" si="27"/>
        <v>4270951.6500000004</v>
      </c>
      <c r="EI70" s="250">
        <f t="shared" si="18"/>
        <v>0</v>
      </c>
      <c r="EJ70" s="250">
        <f t="shared" si="18"/>
        <v>4270951.6500000004</v>
      </c>
      <c r="EK70" s="204">
        <f t="shared" si="10"/>
        <v>4270951.6500000004</v>
      </c>
      <c r="EL70" s="204">
        <f t="shared" si="24"/>
        <v>0</v>
      </c>
      <c r="EM70" s="204">
        <f t="shared" si="12"/>
        <v>728477.91999999993</v>
      </c>
      <c r="EN70" s="204">
        <f t="shared" si="13"/>
        <v>0</v>
      </c>
      <c r="EO70" s="204">
        <f t="shared" si="14"/>
        <v>728477.91999999993</v>
      </c>
      <c r="EP70" s="204"/>
      <c r="EQ70" s="55">
        <v>44765</v>
      </c>
      <c r="ER70" s="55">
        <v>44854</v>
      </c>
      <c r="ES70" s="18"/>
      <c r="ET70" s="47" t="s">
        <v>1165</v>
      </c>
      <c r="EU70" s="47" t="s">
        <v>1106</v>
      </c>
      <c r="EV70" s="54">
        <v>44910</v>
      </c>
      <c r="EW70" s="18"/>
      <c r="EX70" s="18"/>
      <c r="EY70" s="331">
        <f t="shared" si="15"/>
        <v>0.85428779227706975</v>
      </c>
      <c r="EZ70" s="332">
        <v>0.88780000000000003</v>
      </c>
      <c r="FA70" s="336"/>
      <c r="FB70" s="336">
        <f t="shared" si="16"/>
        <v>-0.88780000000000003</v>
      </c>
      <c r="FC70" s="337">
        <f t="shared" si="25"/>
        <v>0.85428779227706975</v>
      </c>
      <c r="FD70" s="338" t="s">
        <v>307</v>
      </c>
      <c r="FE70" s="47" t="s">
        <v>285</v>
      </c>
      <c r="FF70" s="47"/>
      <c r="FG70" s="47" t="s">
        <v>157</v>
      </c>
      <c r="FH70" s="47" t="s">
        <v>146</v>
      </c>
      <c r="FI70" s="25">
        <v>32915</v>
      </c>
      <c r="FJ70" s="199" t="s">
        <v>1302</v>
      </c>
    </row>
    <row r="71" spans="1:166" ht="240.75" hidden="1" customHeight="1">
      <c r="A71" s="15"/>
      <c r="B71" s="5" t="s">
        <v>289</v>
      </c>
      <c r="C71" s="56" t="s">
        <v>955</v>
      </c>
      <c r="D71" s="125" t="s">
        <v>1111</v>
      </c>
      <c r="E71" s="125"/>
      <c r="F71" s="47">
        <v>121645</v>
      </c>
      <c r="G71" s="18" t="s">
        <v>286</v>
      </c>
      <c r="H71" s="19">
        <f>15000000-5122617.82</f>
        <v>9877382.1799999997</v>
      </c>
      <c r="I71" s="19">
        <v>9877382.1799999997</v>
      </c>
      <c r="J71" s="18" t="s">
        <v>253</v>
      </c>
      <c r="K71" s="18" t="s">
        <v>165</v>
      </c>
      <c r="L71" s="18" t="s">
        <v>762</v>
      </c>
      <c r="M71" s="47" t="s">
        <v>166</v>
      </c>
      <c r="N71" s="18" t="s">
        <v>761</v>
      </c>
      <c r="O71" s="47">
        <v>8948422075</v>
      </c>
      <c r="P71" s="18" t="s">
        <v>760</v>
      </c>
      <c r="Q71" s="21"/>
      <c r="R71" s="22"/>
      <c r="S71" s="22"/>
      <c r="T71" s="22"/>
      <c r="U71" s="22"/>
      <c r="V71" s="48">
        <v>44753</v>
      </c>
      <c r="W71" s="48">
        <v>44755</v>
      </c>
      <c r="X71" s="23">
        <v>8514984.6400000006</v>
      </c>
      <c r="Y71" s="23">
        <f t="shared" si="4"/>
        <v>9877382.1823999994</v>
      </c>
      <c r="Z71" s="23">
        <v>9877382.1799999997</v>
      </c>
      <c r="AA71" s="204">
        <f t="shared" si="9"/>
        <v>0</v>
      </c>
      <c r="AB71" s="204">
        <v>0</v>
      </c>
      <c r="AC71" s="204">
        <v>0</v>
      </c>
      <c r="AD71" s="204">
        <v>413450.33</v>
      </c>
      <c r="AE71" s="204">
        <v>0</v>
      </c>
      <c r="AF71" s="50">
        <f t="shared" si="5"/>
        <v>413450.33</v>
      </c>
      <c r="AG71" s="253">
        <v>44795</v>
      </c>
      <c r="AH71" s="50">
        <v>770328.61</v>
      </c>
      <c r="AI71" s="204">
        <v>0</v>
      </c>
      <c r="AJ71" s="204">
        <f t="shared" si="6"/>
        <v>770328.61</v>
      </c>
      <c r="AK71" s="253">
        <v>44874</v>
      </c>
      <c r="AL71" s="50">
        <v>3010184.19</v>
      </c>
      <c r="AM71" s="254">
        <v>0</v>
      </c>
      <c r="AN71" s="204">
        <f t="shared" si="26"/>
        <v>3010184.19</v>
      </c>
      <c r="AO71" s="253">
        <v>44903</v>
      </c>
      <c r="AP71" s="204">
        <v>620703.11</v>
      </c>
      <c r="AQ71" s="204">
        <v>0</v>
      </c>
      <c r="AR71" s="204">
        <f t="shared" si="28"/>
        <v>620703.11</v>
      </c>
      <c r="AS71" s="253">
        <v>45001</v>
      </c>
      <c r="AT71" s="392">
        <v>277233.84000000003</v>
      </c>
      <c r="AU71" s="392">
        <v>0</v>
      </c>
      <c r="AV71" s="392">
        <f t="shared" si="29"/>
        <v>277233.84000000003</v>
      </c>
      <c r="AW71" s="249" t="s">
        <v>305</v>
      </c>
      <c r="AX71" s="204"/>
      <c r="AY71" s="204"/>
      <c r="AZ71" s="204"/>
      <c r="BA71" s="204"/>
      <c r="BB71" s="204"/>
      <c r="BC71" s="204"/>
      <c r="BD71" s="204"/>
      <c r="BE71" s="204"/>
      <c r="BF71" s="204"/>
      <c r="BG71" s="204"/>
      <c r="BH71" s="204"/>
      <c r="BI71" s="204"/>
      <c r="BJ71" s="204"/>
      <c r="BK71" s="204"/>
      <c r="BL71" s="204"/>
      <c r="BM71" s="204"/>
      <c r="BN71" s="204"/>
      <c r="BO71" s="204"/>
      <c r="BP71" s="204"/>
      <c r="BQ71" s="204"/>
      <c r="BR71" s="204"/>
      <c r="BS71" s="204"/>
      <c r="BT71" s="204"/>
      <c r="BU71" s="204"/>
      <c r="BV71" s="204"/>
      <c r="BW71" s="204"/>
      <c r="BX71" s="204"/>
      <c r="BY71" s="204"/>
      <c r="BZ71" s="204"/>
      <c r="CA71" s="204"/>
      <c r="CB71" s="204"/>
      <c r="CC71" s="204"/>
      <c r="CD71" s="204"/>
      <c r="CE71" s="204"/>
      <c r="CF71" s="204"/>
      <c r="CG71" s="204"/>
      <c r="CH71" s="204"/>
      <c r="CI71" s="204"/>
      <c r="CJ71" s="204"/>
      <c r="CK71" s="204"/>
      <c r="CL71" s="204"/>
      <c r="CM71" s="204"/>
      <c r="CN71" s="204"/>
      <c r="CO71" s="204"/>
      <c r="CP71" s="204"/>
      <c r="CQ71" s="204"/>
      <c r="CR71" s="204"/>
      <c r="CS71" s="204"/>
      <c r="CT71" s="204"/>
      <c r="CU71" s="204"/>
      <c r="CV71" s="204"/>
      <c r="CW71" s="204"/>
      <c r="CX71" s="204"/>
      <c r="CY71" s="204"/>
      <c r="CZ71" s="204"/>
      <c r="DA71" s="204"/>
      <c r="DB71" s="204"/>
      <c r="DC71" s="204"/>
      <c r="DD71" s="204"/>
      <c r="DE71" s="204"/>
      <c r="DF71" s="204"/>
      <c r="DG71" s="204"/>
      <c r="DH71" s="204"/>
      <c r="DI71" s="204"/>
      <c r="DJ71" s="204"/>
      <c r="DK71" s="204"/>
      <c r="DL71" s="204"/>
      <c r="DM71" s="204"/>
      <c r="DN71" s="204"/>
      <c r="DO71" s="204"/>
      <c r="DP71" s="204"/>
      <c r="DQ71" s="204"/>
      <c r="DR71" s="204"/>
      <c r="DS71" s="204"/>
      <c r="DT71" s="204"/>
      <c r="DU71" s="204"/>
      <c r="DV71" s="204"/>
      <c r="DW71" s="204"/>
      <c r="DX71" s="204"/>
      <c r="DY71" s="204"/>
      <c r="DZ71" s="204"/>
      <c r="EA71" s="204"/>
      <c r="EB71" s="204"/>
      <c r="EC71" s="204"/>
      <c r="ED71" s="204"/>
      <c r="EE71" s="204"/>
      <c r="EF71" s="204"/>
      <c r="EG71" s="204"/>
      <c r="EH71" s="250">
        <f t="shared" si="27"/>
        <v>5091900.08</v>
      </c>
      <c r="EI71" s="250">
        <f t="shared" si="18"/>
        <v>0</v>
      </c>
      <c r="EJ71" s="250">
        <f t="shared" si="18"/>
        <v>5091900.08</v>
      </c>
      <c r="EK71" s="204">
        <f t="shared" si="10"/>
        <v>5091900.08</v>
      </c>
      <c r="EL71" s="204">
        <f t="shared" si="24"/>
        <v>0</v>
      </c>
      <c r="EM71" s="204">
        <f t="shared" si="12"/>
        <v>4785482.0999999996</v>
      </c>
      <c r="EN71" s="204">
        <f t="shared" si="13"/>
        <v>0</v>
      </c>
      <c r="EO71" s="204">
        <f t="shared" si="14"/>
        <v>4785482.0999999996</v>
      </c>
      <c r="EP71" s="204"/>
      <c r="EQ71" s="55">
        <v>44756</v>
      </c>
      <c r="ER71" s="55">
        <v>44905</v>
      </c>
      <c r="ES71" s="18"/>
      <c r="ET71" s="18"/>
      <c r="EU71" s="47" t="s">
        <v>1227</v>
      </c>
      <c r="EV71" s="18"/>
      <c r="EW71" s="18"/>
      <c r="EX71" s="54">
        <v>44942</v>
      </c>
      <c r="EY71" s="331">
        <f t="shared" si="15"/>
        <v>0.51551109263649042</v>
      </c>
      <c r="EZ71" s="332">
        <v>0.55259999999999998</v>
      </c>
      <c r="FA71" s="336"/>
      <c r="FB71" s="336">
        <f t="shared" si="16"/>
        <v>-0.55259999999999998</v>
      </c>
      <c r="FC71" s="337">
        <f t="shared" si="25"/>
        <v>0.51551109263649042</v>
      </c>
      <c r="FD71" s="338" t="s">
        <v>307</v>
      </c>
      <c r="FE71" s="47" t="s">
        <v>167</v>
      </c>
      <c r="FF71" s="47"/>
      <c r="FG71" s="47" t="s">
        <v>145</v>
      </c>
      <c r="FH71" s="47" t="s">
        <v>146</v>
      </c>
      <c r="FI71" s="25">
        <v>1950</v>
      </c>
      <c r="FJ71" s="199" t="s">
        <v>1228</v>
      </c>
    </row>
    <row r="72" spans="1:166" ht="135.75" hidden="1" customHeight="1">
      <c r="A72" s="15"/>
      <c r="B72" s="5" t="s">
        <v>289</v>
      </c>
      <c r="C72" s="56" t="s">
        <v>894</v>
      </c>
      <c r="D72" s="125" t="s">
        <v>1111</v>
      </c>
      <c r="E72" s="125"/>
      <c r="F72" s="47">
        <v>121646</v>
      </c>
      <c r="G72" s="18" t="s">
        <v>287</v>
      </c>
      <c r="H72" s="19">
        <f>12000000-2303407.36</f>
        <v>9696592.6400000006</v>
      </c>
      <c r="I72" s="19">
        <v>9696592.6400000006</v>
      </c>
      <c r="J72" s="18" t="s">
        <v>253</v>
      </c>
      <c r="K72" s="18" t="s">
        <v>832</v>
      </c>
      <c r="L72" s="18" t="s">
        <v>822</v>
      </c>
      <c r="M72" s="47" t="s">
        <v>823</v>
      </c>
      <c r="N72" s="18" t="s">
        <v>824</v>
      </c>
      <c r="O72" s="47" t="s">
        <v>825</v>
      </c>
      <c r="P72" s="217" t="s">
        <v>849</v>
      </c>
      <c r="Q72" s="21"/>
      <c r="R72" s="22"/>
      <c r="S72" s="22"/>
      <c r="T72" s="22"/>
      <c r="U72" s="22"/>
      <c r="V72" s="48">
        <v>44770</v>
      </c>
      <c r="W72" s="48">
        <v>44771</v>
      </c>
      <c r="X72" s="23">
        <v>8359131.5899999999</v>
      </c>
      <c r="Y72" s="23">
        <f>X72*1.16</f>
        <v>9696592.6443999987</v>
      </c>
      <c r="Z72" s="23">
        <v>9696592.6400000006</v>
      </c>
      <c r="AA72" s="204">
        <f t="shared" ref="AA72:AA113" si="30">H72-Z72</f>
        <v>0</v>
      </c>
      <c r="AB72" s="204">
        <v>2908977.79</v>
      </c>
      <c r="AC72" s="204">
        <v>2908977.79</v>
      </c>
      <c r="AD72" s="204">
        <v>1142229.74</v>
      </c>
      <c r="AE72" s="204">
        <v>342668.92</v>
      </c>
      <c r="AF72" s="50">
        <f t="shared" si="5"/>
        <v>799560.82000000007</v>
      </c>
      <c r="AG72" s="253">
        <v>44846</v>
      </c>
      <c r="AH72" s="204">
        <v>2492298.94</v>
      </c>
      <c r="AI72" s="204">
        <v>747689.68</v>
      </c>
      <c r="AJ72" s="204">
        <f t="shared" si="6"/>
        <v>1744609.2599999998</v>
      </c>
      <c r="AK72" s="253">
        <v>44889</v>
      </c>
      <c r="AL72" s="50">
        <v>3228012.17</v>
      </c>
      <c r="AM72" s="50">
        <v>968403.65</v>
      </c>
      <c r="AN72" s="204">
        <f t="shared" si="26"/>
        <v>2259608.52</v>
      </c>
      <c r="AO72" s="253">
        <v>44902</v>
      </c>
      <c r="AP72" s="204">
        <v>2829486.12</v>
      </c>
      <c r="AQ72" s="204">
        <v>850215.54</v>
      </c>
      <c r="AR72" s="204">
        <f t="shared" si="28"/>
        <v>1979270.58</v>
      </c>
      <c r="AS72" s="253">
        <v>44903</v>
      </c>
      <c r="AT72" s="204">
        <v>4564.09</v>
      </c>
      <c r="AU72" s="204">
        <v>0</v>
      </c>
      <c r="AV72" s="204">
        <f t="shared" si="29"/>
        <v>4564.09</v>
      </c>
      <c r="AW72" s="249" t="s">
        <v>305</v>
      </c>
      <c r="AX72" s="204"/>
      <c r="AY72" s="204"/>
      <c r="AZ72" s="204"/>
      <c r="BA72" s="204"/>
      <c r="BB72" s="204"/>
      <c r="BC72" s="204"/>
      <c r="BD72" s="204"/>
      <c r="BE72" s="204"/>
      <c r="BF72" s="204"/>
      <c r="BG72" s="204"/>
      <c r="BH72" s="204"/>
      <c r="BI72" s="204"/>
      <c r="BJ72" s="204"/>
      <c r="BK72" s="204"/>
      <c r="BL72" s="204"/>
      <c r="BM72" s="204"/>
      <c r="BN72" s="204"/>
      <c r="BO72" s="204"/>
      <c r="BP72" s="204"/>
      <c r="BQ72" s="204"/>
      <c r="BR72" s="204"/>
      <c r="BS72" s="204"/>
      <c r="BT72" s="204"/>
      <c r="BU72" s="204"/>
      <c r="BV72" s="204"/>
      <c r="BW72" s="204"/>
      <c r="BX72" s="204"/>
      <c r="BY72" s="204"/>
      <c r="BZ72" s="204"/>
      <c r="CA72" s="204"/>
      <c r="CB72" s="204"/>
      <c r="CC72" s="204"/>
      <c r="CD72" s="204"/>
      <c r="CE72" s="204"/>
      <c r="CF72" s="204"/>
      <c r="CG72" s="204"/>
      <c r="CH72" s="204"/>
      <c r="CI72" s="204"/>
      <c r="CJ72" s="204"/>
      <c r="CK72" s="204"/>
      <c r="CL72" s="204"/>
      <c r="CM72" s="204"/>
      <c r="CN72" s="204"/>
      <c r="CO72" s="204"/>
      <c r="CP72" s="204"/>
      <c r="CQ72" s="204"/>
      <c r="CR72" s="204"/>
      <c r="CS72" s="204"/>
      <c r="CT72" s="204"/>
      <c r="CU72" s="204"/>
      <c r="CV72" s="204"/>
      <c r="CW72" s="204"/>
      <c r="CX72" s="204"/>
      <c r="CY72" s="204"/>
      <c r="CZ72" s="204"/>
      <c r="DA72" s="204"/>
      <c r="DB72" s="204"/>
      <c r="DC72" s="204"/>
      <c r="DD72" s="204"/>
      <c r="DE72" s="204"/>
      <c r="DF72" s="204"/>
      <c r="DG72" s="204"/>
      <c r="DH72" s="204"/>
      <c r="DI72" s="204"/>
      <c r="DJ72" s="204"/>
      <c r="DK72" s="204"/>
      <c r="DL72" s="204"/>
      <c r="DM72" s="204"/>
      <c r="DN72" s="204"/>
      <c r="DO72" s="204"/>
      <c r="DP72" s="204"/>
      <c r="DQ72" s="204"/>
      <c r="DR72" s="204"/>
      <c r="DS72" s="204"/>
      <c r="DT72" s="204"/>
      <c r="DU72" s="204"/>
      <c r="DV72" s="204"/>
      <c r="DW72" s="204"/>
      <c r="DX72" s="204"/>
      <c r="DY72" s="204"/>
      <c r="DZ72" s="204"/>
      <c r="EA72" s="204"/>
      <c r="EB72" s="204"/>
      <c r="EC72" s="204"/>
      <c r="ED72" s="204"/>
      <c r="EE72" s="204"/>
      <c r="EF72" s="204"/>
      <c r="EG72" s="204"/>
      <c r="EH72" s="250">
        <f t="shared" si="27"/>
        <v>9696591.0599999987</v>
      </c>
      <c r="EI72" s="250">
        <f t="shared" si="18"/>
        <v>2908977.79</v>
      </c>
      <c r="EJ72" s="250">
        <f t="shared" si="18"/>
        <v>6787613.2699999996</v>
      </c>
      <c r="EK72" s="204">
        <f t="shared" si="10"/>
        <v>9696591.0599999987</v>
      </c>
      <c r="EL72" s="204">
        <f t="shared" si="24"/>
        <v>0</v>
      </c>
      <c r="EM72" s="204">
        <f t="shared" si="12"/>
        <v>1.580000001937151</v>
      </c>
      <c r="EN72" s="204">
        <f t="shared" si="13"/>
        <v>2908977.7899999991</v>
      </c>
      <c r="EO72" s="204">
        <f t="shared" si="14"/>
        <v>1.580000001937151</v>
      </c>
      <c r="EP72" s="204"/>
      <c r="EQ72" s="55">
        <v>44772</v>
      </c>
      <c r="ER72" s="55">
        <v>44910</v>
      </c>
      <c r="ES72" s="18"/>
      <c r="ET72" s="18"/>
      <c r="EU72" s="18"/>
      <c r="EV72" s="18"/>
      <c r="EW72" s="18"/>
      <c r="EX72" s="18"/>
      <c r="EY72" s="331">
        <f t="shared" ref="EY72:EY113" si="31">EH72/Z72</f>
        <v>0.99999983705616391</v>
      </c>
      <c r="EZ72" s="332">
        <v>1</v>
      </c>
      <c r="FA72" s="336"/>
      <c r="FB72" s="336">
        <f t="shared" si="16"/>
        <v>-1</v>
      </c>
      <c r="FC72" s="337">
        <f t="shared" si="25"/>
        <v>0.99999983705616391</v>
      </c>
      <c r="FD72" s="338" t="s">
        <v>147</v>
      </c>
      <c r="FE72" s="47" t="s">
        <v>288</v>
      </c>
      <c r="FF72" s="47"/>
      <c r="FG72" s="47" t="s">
        <v>157</v>
      </c>
      <c r="FH72" s="47" t="s">
        <v>146</v>
      </c>
      <c r="FI72" s="25">
        <v>4092</v>
      </c>
      <c r="FJ72" s="199" t="s">
        <v>1331</v>
      </c>
    </row>
    <row r="73" spans="1:166" ht="135.75" hidden="1" customHeight="1">
      <c r="A73" s="15"/>
      <c r="B73" s="5" t="s">
        <v>289</v>
      </c>
      <c r="C73" s="56" t="s">
        <v>894</v>
      </c>
      <c r="D73" s="125" t="s">
        <v>1111</v>
      </c>
      <c r="E73" s="125"/>
      <c r="F73" s="47">
        <v>121621</v>
      </c>
      <c r="G73" s="18" t="s">
        <v>814</v>
      </c>
      <c r="H73" s="19">
        <f>600000-1193.52</f>
        <v>598806.48</v>
      </c>
      <c r="I73" s="19">
        <v>598806.48</v>
      </c>
      <c r="J73" s="18" t="s">
        <v>253</v>
      </c>
      <c r="K73" s="18" t="s">
        <v>815</v>
      </c>
      <c r="L73" s="18" t="s">
        <v>816</v>
      </c>
      <c r="M73" s="47" t="s">
        <v>817</v>
      </c>
      <c r="N73" s="18" t="s">
        <v>818</v>
      </c>
      <c r="O73" s="47">
        <v>5593007796</v>
      </c>
      <c r="P73" s="18" t="s">
        <v>819</v>
      </c>
      <c r="Q73" s="21"/>
      <c r="R73" s="22"/>
      <c r="S73" s="22"/>
      <c r="T73" s="22"/>
      <c r="U73" s="22"/>
      <c r="V73" s="48">
        <v>44740</v>
      </c>
      <c r="W73" s="48">
        <v>44742</v>
      </c>
      <c r="X73" s="23">
        <v>516212.47999999998</v>
      </c>
      <c r="Y73" s="23">
        <f>X73*1.16</f>
        <v>598806.47679999995</v>
      </c>
      <c r="Z73" s="23">
        <v>598806.48</v>
      </c>
      <c r="AA73" s="204">
        <f t="shared" si="30"/>
        <v>0</v>
      </c>
      <c r="AB73" s="204">
        <v>0</v>
      </c>
      <c r="AC73" s="204">
        <v>0</v>
      </c>
      <c r="AD73" s="204">
        <v>167323.92000000001</v>
      </c>
      <c r="AE73" s="204">
        <v>0</v>
      </c>
      <c r="AF73" s="50">
        <f>AD73-AE73</f>
        <v>167323.92000000001</v>
      </c>
      <c r="AG73" s="253">
        <v>44816</v>
      </c>
      <c r="AH73" s="204">
        <v>137240.10999999999</v>
      </c>
      <c r="AI73" s="204">
        <v>0</v>
      </c>
      <c r="AJ73" s="204">
        <f t="shared" si="6"/>
        <v>137240.10999999999</v>
      </c>
      <c r="AK73" s="253">
        <v>44839</v>
      </c>
      <c r="AL73" s="50">
        <v>163786.54999999999</v>
      </c>
      <c r="AM73" s="254">
        <v>0</v>
      </c>
      <c r="AN73" s="204">
        <f t="shared" si="26"/>
        <v>163786.54999999999</v>
      </c>
      <c r="AO73" s="253">
        <v>44865</v>
      </c>
      <c r="AP73" s="50">
        <v>110871.72</v>
      </c>
      <c r="AQ73" s="204">
        <v>0</v>
      </c>
      <c r="AR73" s="204">
        <f t="shared" si="28"/>
        <v>110871.72</v>
      </c>
      <c r="AS73" s="253">
        <v>44896</v>
      </c>
      <c r="AT73" s="50">
        <v>19584.18</v>
      </c>
      <c r="AU73" s="204">
        <v>0</v>
      </c>
      <c r="AV73" s="204">
        <f t="shared" si="29"/>
        <v>19584.18</v>
      </c>
      <c r="AW73" s="249" t="s">
        <v>1101</v>
      </c>
      <c r="AX73" s="204"/>
      <c r="AY73" s="204"/>
      <c r="AZ73" s="204"/>
      <c r="BA73" s="204"/>
      <c r="BB73" s="204"/>
      <c r="BC73" s="204"/>
      <c r="BD73" s="204"/>
      <c r="BE73" s="204"/>
      <c r="BF73" s="204"/>
      <c r="BG73" s="204"/>
      <c r="BH73" s="204"/>
      <c r="BI73" s="204"/>
      <c r="BJ73" s="204"/>
      <c r="BK73" s="204"/>
      <c r="BL73" s="204"/>
      <c r="BM73" s="204"/>
      <c r="BN73" s="204"/>
      <c r="BO73" s="204"/>
      <c r="BP73" s="204"/>
      <c r="BQ73" s="204"/>
      <c r="BR73" s="204"/>
      <c r="BS73" s="204"/>
      <c r="BT73" s="204"/>
      <c r="BU73" s="204"/>
      <c r="BV73" s="204"/>
      <c r="BW73" s="204"/>
      <c r="BX73" s="204"/>
      <c r="BY73" s="204"/>
      <c r="BZ73" s="204"/>
      <c r="CA73" s="204"/>
      <c r="CB73" s="204"/>
      <c r="CC73" s="204"/>
      <c r="CD73" s="204"/>
      <c r="CE73" s="204"/>
      <c r="CF73" s="204"/>
      <c r="CG73" s="204"/>
      <c r="CH73" s="204"/>
      <c r="CI73" s="204"/>
      <c r="CJ73" s="204"/>
      <c r="CK73" s="204"/>
      <c r="CL73" s="204"/>
      <c r="CM73" s="204"/>
      <c r="CN73" s="204"/>
      <c r="CO73" s="204"/>
      <c r="CP73" s="204"/>
      <c r="CQ73" s="204"/>
      <c r="CR73" s="204"/>
      <c r="CS73" s="204"/>
      <c r="CT73" s="204"/>
      <c r="CU73" s="204"/>
      <c r="CV73" s="204"/>
      <c r="CW73" s="204"/>
      <c r="CX73" s="204"/>
      <c r="CY73" s="204"/>
      <c r="CZ73" s="204"/>
      <c r="DA73" s="204"/>
      <c r="DB73" s="204"/>
      <c r="DC73" s="204"/>
      <c r="DD73" s="204"/>
      <c r="DE73" s="204"/>
      <c r="DF73" s="204"/>
      <c r="DG73" s="204"/>
      <c r="DH73" s="204"/>
      <c r="DI73" s="204"/>
      <c r="DJ73" s="204"/>
      <c r="DK73" s="204"/>
      <c r="DL73" s="204"/>
      <c r="DM73" s="204"/>
      <c r="DN73" s="204"/>
      <c r="DO73" s="204"/>
      <c r="DP73" s="204"/>
      <c r="DQ73" s="204"/>
      <c r="DR73" s="204"/>
      <c r="DS73" s="204"/>
      <c r="DT73" s="204"/>
      <c r="DU73" s="204"/>
      <c r="DV73" s="204"/>
      <c r="DW73" s="204"/>
      <c r="DX73" s="204"/>
      <c r="DY73" s="204"/>
      <c r="DZ73" s="204"/>
      <c r="EA73" s="204"/>
      <c r="EB73" s="204"/>
      <c r="EC73" s="204"/>
      <c r="ED73" s="204"/>
      <c r="EE73" s="204"/>
      <c r="EF73" s="204"/>
      <c r="EG73" s="204"/>
      <c r="EH73" s="250">
        <f t="shared" si="27"/>
        <v>598806.4800000001</v>
      </c>
      <c r="EI73" s="250">
        <f t="shared" si="18"/>
        <v>0</v>
      </c>
      <c r="EJ73" s="250">
        <f t="shared" si="18"/>
        <v>598806.4800000001</v>
      </c>
      <c r="EK73" s="204">
        <f t="shared" si="10"/>
        <v>598806.4800000001</v>
      </c>
      <c r="EL73" s="204">
        <f t="shared" si="24"/>
        <v>0</v>
      </c>
      <c r="EM73" s="204">
        <f t="shared" si="12"/>
        <v>0</v>
      </c>
      <c r="EN73" s="204">
        <f t="shared" si="13"/>
        <v>0</v>
      </c>
      <c r="EO73" s="204">
        <f t="shared" si="14"/>
        <v>0</v>
      </c>
      <c r="EP73" s="204"/>
      <c r="EQ73" s="55">
        <v>44743</v>
      </c>
      <c r="ER73" s="55">
        <v>44895</v>
      </c>
      <c r="ES73" s="18"/>
      <c r="ET73" s="18"/>
      <c r="EU73" s="18"/>
      <c r="EV73" s="18"/>
      <c r="EW73" s="18"/>
      <c r="EX73" s="18"/>
      <c r="EY73" s="331">
        <f t="shared" si="31"/>
        <v>1.0000000000000002</v>
      </c>
      <c r="EZ73" s="332">
        <v>1</v>
      </c>
      <c r="FA73" s="336"/>
      <c r="FB73" s="336"/>
      <c r="FC73" s="337">
        <f t="shared" si="25"/>
        <v>1.0000000000000002</v>
      </c>
      <c r="FD73" s="338" t="s">
        <v>147</v>
      </c>
      <c r="FE73" s="47" t="s">
        <v>821</v>
      </c>
      <c r="FF73" s="47"/>
      <c r="FG73" s="47" t="s">
        <v>820</v>
      </c>
      <c r="FH73" s="47"/>
      <c r="FI73" s="25">
        <v>16992</v>
      </c>
      <c r="FJ73" s="199" t="s">
        <v>1275</v>
      </c>
    </row>
    <row r="74" spans="1:166" ht="135.75" hidden="1" customHeight="1">
      <c r="A74" s="15">
        <v>24</v>
      </c>
      <c r="B74" s="5" t="s">
        <v>231</v>
      </c>
      <c r="C74" s="5" t="s">
        <v>231</v>
      </c>
      <c r="D74" s="17"/>
      <c r="E74" s="17"/>
      <c r="F74" s="47">
        <v>121530</v>
      </c>
      <c r="G74" s="18" t="s">
        <v>229</v>
      </c>
      <c r="H74" s="19">
        <v>4000000</v>
      </c>
      <c r="I74" s="19">
        <v>4000000</v>
      </c>
      <c r="J74" s="18" t="s">
        <v>230</v>
      </c>
      <c r="K74" s="18" t="s">
        <v>240</v>
      </c>
      <c r="L74" s="18" t="s">
        <v>241</v>
      </c>
      <c r="M74" s="47" t="s">
        <v>242</v>
      </c>
      <c r="N74" s="18" t="s">
        <v>244</v>
      </c>
      <c r="O74" s="47">
        <v>7222041354</v>
      </c>
      <c r="P74" s="20" t="s">
        <v>671</v>
      </c>
      <c r="Q74" s="21"/>
      <c r="R74" s="22"/>
      <c r="S74" s="22"/>
      <c r="T74" s="22"/>
      <c r="U74" s="22"/>
      <c r="V74" s="48">
        <v>44708</v>
      </c>
      <c r="W74" s="48">
        <v>44712</v>
      </c>
      <c r="X74" s="23">
        <v>3445301.59</v>
      </c>
      <c r="Y74" s="23">
        <f>X74*1.16</f>
        <v>3996549.8443999994</v>
      </c>
      <c r="Z74" s="23">
        <v>3996549.84</v>
      </c>
      <c r="AA74" s="204">
        <f t="shared" si="30"/>
        <v>3450.160000000149</v>
      </c>
      <c r="AB74" s="204">
        <v>1198964.95</v>
      </c>
      <c r="AC74" s="204">
        <v>1198964.95</v>
      </c>
      <c r="AD74" s="204">
        <v>850929.26</v>
      </c>
      <c r="AE74" s="204">
        <v>255278.78</v>
      </c>
      <c r="AF74" s="50">
        <f t="shared" si="5"/>
        <v>595650.48</v>
      </c>
      <c r="AG74" s="253">
        <v>44741</v>
      </c>
      <c r="AH74" s="204">
        <v>1510423.89</v>
      </c>
      <c r="AI74" s="204">
        <v>453127.17</v>
      </c>
      <c r="AJ74" s="204">
        <f t="shared" si="6"/>
        <v>1057296.72</v>
      </c>
      <c r="AK74" s="253">
        <v>44754</v>
      </c>
      <c r="AL74" s="50">
        <v>387930.87</v>
      </c>
      <c r="AM74" s="50">
        <v>116379.26</v>
      </c>
      <c r="AN74" s="204">
        <f t="shared" si="26"/>
        <v>271551.61</v>
      </c>
      <c r="AO74" s="253">
        <v>44799</v>
      </c>
      <c r="AP74" s="204">
        <v>1171464.6299999999</v>
      </c>
      <c r="AQ74" s="204">
        <v>374179.74</v>
      </c>
      <c r="AR74" s="204">
        <f>AP74-AQ74</f>
        <v>797284.8899999999</v>
      </c>
      <c r="AS74" s="253">
        <v>44841</v>
      </c>
      <c r="AT74" s="204">
        <v>71855.28</v>
      </c>
      <c r="AU74" s="204">
        <v>0</v>
      </c>
      <c r="AV74" s="204">
        <f t="shared" si="29"/>
        <v>71855.28</v>
      </c>
      <c r="AW74" s="249">
        <v>44985</v>
      </c>
      <c r="AX74" s="204">
        <v>0</v>
      </c>
      <c r="AY74" s="204">
        <v>0</v>
      </c>
      <c r="AZ74" s="204">
        <v>0</v>
      </c>
      <c r="BA74" s="204" t="s">
        <v>1266</v>
      </c>
      <c r="BB74" s="204"/>
      <c r="BC74" s="204"/>
      <c r="BD74" s="204"/>
      <c r="BE74" s="204"/>
      <c r="BF74" s="204"/>
      <c r="BG74" s="204"/>
      <c r="BH74" s="204"/>
      <c r="BI74" s="204"/>
      <c r="BJ74" s="204"/>
      <c r="BK74" s="204"/>
      <c r="BL74" s="204"/>
      <c r="BM74" s="204"/>
      <c r="BN74" s="204"/>
      <c r="BO74" s="204"/>
      <c r="BP74" s="204"/>
      <c r="BQ74" s="204"/>
      <c r="BR74" s="204"/>
      <c r="BS74" s="204"/>
      <c r="BT74" s="204"/>
      <c r="BU74" s="204"/>
      <c r="BV74" s="204"/>
      <c r="BW74" s="204"/>
      <c r="BX74" s="204"/>
      <c r="BY74" s="204"/>
      <c r="BZ74" s="204"/>
      <c r="CA74" s="204"/>
      <c r="CB74" s="204"/>
      <c r="CC74" s="204"/>
      <c r="CD74" s="204"/>
      <c r="CE74" s="204"/>
      <c r="CF74" s="204"/>
      <c r="CG74" s="204"/>
      <c r="CH74" s="204"/>
      <c r="CI74" s="204"/>
      <c r="CJ74" s="204"/>
      <c r="CK74" s="204"/>
      <c r="CL74" s="204"/>
      <c r="CM74" s="204"/>
      <c r="CN74" s="204"/>
      <c r="CO74" s="204"/>
      <c r="CP74" s="204"/>
      <c r="CQ74" s="204"/>
      <c r="CR74" s="204"/>
      <c r="CS74" s="204"/>
      <c r="CT74" s="204"/>
      <c r="CU74" s="204"/>
      <c r="CV74" s="204"/>
      <c r="CW74" s="204"/>
      <c r="CX74" s="204"/>
      <c r="CY74" s="204"/>
      <c r="CZ74" s="204"/>
      <c r="DA74" s="204"/>
      <c r="DB74" s="204"/>
      <c r="DC74" s="204"/>
      <c r="DD74" s="204"/>
      <c r="DE74" s="204"/>
      <c r="DF74" s="204"/>
      <c r="DG74" s="204"/>
      <c r="DH74" s="204"/>
      <c r="DI74" s="204"/>
      <c r="DJ74" s="204"/>
      <c r="DK74" s="204"/>
      <c r="DL74" s="204"/>
      <c r="DM74" s="204"/>
      <c r="DN74" s="204"/>
      <c r="DO74" s="204"/>
      <c r="DP74" s="204"/>
      <c r="DQ74" s="204"/>
      <c r="DR74" s="204"/>
      <c r="DS74" s="204"/>
      <c r="DT74" s="204"/>
      <c r="DU74" s="204"/>
      <c r="DV74" s="204"/>
      <c r="DW74" s="204"/>
      <c r="DX74" s="204"/>
      <c r="DY74" s="204"/>
      <c r="DZ74" s="204"/>
      <c r="EA74" s="204"/>
      <c r="EB74" s="204"/>
      <c r="EC74" s="204"/>
      <c r="ED74" s="204"/>
      <c r="EE74" s="204"/>
      <c r="EF74" s="204"/>
      <c r="EG74" s="204"/>
      <c r="EH74" s="250">
        <f t="shared" si="27"/>
        <v>3992603.9299999997</v>
      </c>
      <c r="EI74" s="250">
        <f t="shared" si="18"/>
        <v>1198964.95</v>
      </c>
      <c r="EJ74" s="250">
        <f t="shared" si="18"/>
        <v>2793638.98</v>
      </c>
      <c r="EK74" s="204">
        <f t="shared" si="10"/>
        <v>3992603.9299999997</v>
      </c>
      <c r="EL74" s="204">
        <f t="shared" si="24"/>
        <v>0</v>
      </c>
      <c r="EM74" s="255">
        <f t="shared" si="12"/>
        <v>3945.910000000149</v>
      </c>
      <c r="EN74" s="204">
        <f t="shared" si="13"/>
        <v>1198964.9499999997</v>
      </c>
      <c r="EO74" s="204">
        <f t="shared" si="14"/>
        <v>7396.070000000298</v>
      </c>
      <c r="EP74" s="204"/>
      <c r="EQ74" s="55">
        <v>44713</v>
      </c>
      <c r="ER74" s="55">
        <v>44832</v>
      </c>
      <c r="ES74" s="18"/>
      <c r="ET74" s="47" t="s">
        <v>1065</v>
      </c>
      <c r="EU74" s="18"/>
      <c r="EV74" s="18"/>
      <c r="EW74" s="18"/>
      <c r="EX74" s="54" t="s">
        <v>1374</v>
      </c>
      <c r="EY74" s="331">
        <f t="shared" si="31"/>
        <v>0.99901267088914869</v>
      </c>
      <c r="EZ74" s="332">
        <v>1</v>
      </c>
      <c r="FA74" s="336"/>
      <c r="FB74" s="336">
        <f t="shared" si="16"/>
        <v>-1</v>
      </c>
      <c r="FC74" s="337">
        <f t="shared" si="25"/>
        <v>0.99901267088914869</v>
      </c>
      <c r="FD74" s="338" t="s">
        <v>147</v>
      </c>
      <c r="FE74" s="47" t="s">
        <v>214</v>
      </c>
      <c r="FF74" s="47"/>
      <c r="FG74" s="47" t="s">
        <v>177</v>
      </c>
      <c r="FH74" s="47" t="s">
        <v>140</v>
      </c>
      <c r="FI74" s="25">
        <v>427</v>
      </c>
      <c r="FJ74" s="51" t="s">
        <v>1267</v>
      </c>
    </row>
    <row r="75" spans="1:166" ht="135.75" hidden="1" customHeight="1">
      <c r="A75" s="15">
        <v>25</v>
      </c>
      <c r="B75" s="5" t="s">
        <v>238</v>
      </c>
      <c r="C75" s="56" t="s">
        <v>722</v>
      </c>
      <c r="D75" s="17"/>
      <c r="E75" s="17"/>
      <c r="F75" s="47">
        <v>115553</v>
      </c>
      <c r="G75" s="18" t="s">
        <v>237</v>
      </c>
      <c r="H75" s="19">
        <v>1800000</v>
      </c>
      <c r="I75" s="19">
        <v>1795581.26</v>
      </c>
      <c r="J75" s="18" t="s">
        <v>239</v>
      </c>
      <c r="K75" s="18" t="s">
        <v>240</v>
      </c>
      <c r="L75" s="18" t="s">
        <v>241</v>
      </c>
      <c r="M75" s="47" t="s">
        <v>242</v>
      </c>
      <c r="N75" s="18" t="s">
        <v>244</v>
      </c>
      <c r="O75" s="47">
        <v>7222041354</v>
      </c>
      <c r="P75" s="20" t="s">
        <v>670</v>
      </c>
      <c r="Q75" s="21"/>
      <c r="R75" s="22"/>
      <c r="S75" s="22"/>
      <c r="T75" s="22"/>
      <c r="U75" s="22"/>
      <c r="V75" s="48">
        <v>44708</v>
      </c>
      <c r="W75" s="48">
        <v>44712</v>
      </c>
      <c r="X75" s="23">
        <v>1547914.88</v>
      </c>
      <c r="Y75" s="23">
        <f t="shared" si="4"/>
        <v>1795581.2607999998</v>
      </c>
      <c r="Z75" s="23">
        <v>1795581.26</v>
      </c>
      <c r="AA75" s="204">
        <f t="shared" si="30"/>
        <v>4418.7399999999907</v>
      </c>
      <c r="AB75" s="204">
        <v>538674.38</v>
      </c>
      <c r="AC75" s="204">
        <v>538674.38</v>
      </c>
      <c r="AD75" s="204">
        <v>337870.29</v>
      </c>
      <c r="AE75" s="204">
        <v>101361.09</v>
      </c>
      <c r="AF75" s="50">
        <f t="shared" si="5"/>
        <v>236509.19999999998</v>
      </c>
      <c r="AG75" s="253">
        <v>44743</v>
      </c>
      <c r="AH75" s="204">
        <v>1252296.05</v>
      </c>
      <c r="AI75" s="204">
        <v>437313.29</v>
      </c>
      <c r="AJ75" s="204">
        <f t="shared" si="6"/>
        <v>814982.76</v>
      </c>
      <c r="AK75" s="253">
        <v>44834</v>
      </c>
      <c r="AL75" s="50">
        <v>108836.57</v>
      </c>
      <c r="AM75" s="254">
        <v>0</v>
      </c>
      <c r="AN75" s="204">
        <f t="shared" si="26"/>
        <v>108836.57</v>
      </c>
      <c r="AO75" s="312" t="s">
        <v>1277</v>
      </c>
      <c r="AP75" s="204"/>
      <c r="AQ75" s="204"/>
      <c r="AR75" s="204">
        <f t="shared" ref="AR75:AR101" si="32">AP75-AQ75</f>
        <v>0</v>
      </c>
      <c r="AS75" s="253"/>
      <c r="AT75" s="204"/>
      <c r="AU75" s="204"/>
      <c r="AV75" s="204"/>
      <c r="AW75" s="249"/>
      <c r="AX75" s="204"/>
      <c r="AY75" s="204"/>
      <c r="AZ75" s="204"/>
      <c r="BA75" s="204"/>
      <c r="BB75" s="204"/>
      <c r="BC75" s="204"/>
      <c r="BD75" s="204"/>
      <c r="BE75" s="204"/>
      <c r="BF75" s="204"/>
      <c r="BG75" s="204"/>
      <c r="BH75" s="204"/>
      <c r="BI75" s="204"/>
      <c r="BJ75" s="204"/>
      <c r="BK75" s="204"/>
      <c r="BL75" s="204"/>
      <c r="BM75" s="204"/>
      <c r="BN75" s="204"/>
      <c r="BO75" s="204"/>
      <c r="BP75" s="204"/>
      <c r="BQ75" s="204"/>
      <c r="BR75" s="204"/>
      <c r="BS75" s="204"/>
      <c r="BT75" s="204"/>
      <c r="BU75" s="204"/>
      <c r="BV75" s="204"/>
      <c r="BW75" s="204"/>
      <c r="BX75" s="204"/>
      <c r="BY75" s="204"/>
      <c r="BZ75" s="204"/>
      <c r="CA75" s="204"/>
      <c r="CB75" s="204"/>
      <c r="CC75" s="204"/>
      <c r="CD75" s="204"/>
      <c r="CE75" s="204"/>
      <c r="CF75" s="204"/>
      <c r="CG75" s="204"/>
      <c r="CH75" s="204"/>
      <c r="CI75" s="204"/>
      <c r="CJ75" s="204"/>
      <c r="CK75" s="204"/>
      <c r="CL75" s="204"/>
      <c r="CM75" s="204"/>
      <c r="CN75" s="204"/>
      <c r="CO75" s="204"/>
      <c r="CP75" s="204"/>
      <c r="CQ75" s="204"/>
      <c r="CR75" s="204"/>
      <c r="CS75" s="204"/>
      <c r="CT75" s="204"/>
      <c r="CU75" s="204"/>
      <c r="CV75" s="204"/>
      <c r="CW75" s="204"/>
      <c r="CX75" s="204"/>
      <c r="CY75" s="204"/>
      <c r="CZ75" s="204"/>
      <c r="DA75" s="204"/>
      <c r="DB75" s="204"/>
      <c r="DC75" s="204"/>
      <c r="DD75" s="204"/>
      <c r="DE75" s="204"/>
      <c r="DF75" s="204"/>
      <c r="DG75" s="204"/>
      <c r="DH75" s="204"/>
      <c r="DI75" s="204"/>
      <c r="DJ75" s="204"/>
      <c r="DK75" s="204"/>
      <c r="DL75" s="204"/>
      <c r="DM75" s="204"/>
      <c r="DN75" s="204"/>
      <c r="DO75" s="204"/>
      <c r="DP75" s="204"/>
      <c r="DQ75" s="204"/>
      <c r="DR75" s="204"/>
      <c r="DS75" s="204"/>
      <c r="DT75" s="204"/>
      <c r="DU75" s="204"/>
      <c r="DV75" s="204"/>
      <c r="DW75" s="204"/>
      <c r="DX75" s="204"/>
      <c r="DY75" s="204"/>
      <c r="DZ75" s="204"/>
      <c r="EA75" s="204"/>
      <c r="EB75" s="204"/>
      <c r="EC75" s="204"/>
      <c r="ED75" s="204"/>
      <c r="EE75" s="204"/>
      <c r="EF75" s="204"/>
      <c r="EG75" s="204"/>
      <c r="EH75" s="250">
        <f t="shared" si="27"/>
        <v>1699002.9100000001</v>
      </c>
      <c r="EI75" s="250">
        <f t="shared" si="18"/>
        <v>538674.38</v>
      </c>
      <c r="EJ75" s="250">
        <f t="shared" si="18"/>
        <v>1160328.53</v>
      </c>
      <c r="EK75" s="204">
        <f t="shared" si="10"/>
        <v>1699002.9100000001</v>
      </c>
      <c r="EL75" s="204">
        <f t="shared" si="24"/>
        <v>0</v>
      </c>
      <c r="EM75" s="255">
        <f t="shared" si="12"/>
        <v>96578.34999999986</v>
      </c>
      <c r="EN75" s="204">
        <f t="shared" si="13"/>
        <v>538674.38000000012</v>
      </c>
      <c r="EO75" s="204">
        <f t="shared" si="14"/>
        <v>100997.08999999985</v>
      </c>
      <c r="EP75" s="204"/>
      <c r="EQ75" s="55">
        <v>44713</v>
      </c>
      <c r="ER75" s="55">
        <v>44832</v>
      </c>
      <c r="ES75" s="18"/>
      <c r="ET75" s="18"/>
      <c r="EU75" s="18"/>
      <c r="EV75" s="18"/>
      <c r="EW75" s="18"/>
      <c r="EX75" s="47" t="s">
        <v>1378</v>
      </c>
      <c r="EY75" s="331">
        <f t="shared" si="31"/>
        <v>0.94621332258724966</v>
      </c>
      <c r="EZ75" s="332">
        <v>1</v>
      </c>
      <c r="FA75" s="336"/>
      <c r="FB75" s="336">
        <f t="shared" si="16"/>
        <v>-1</v>
      </c>
      <c r="FC75" s="337">
        <f t="shared" si="25"/>
        <v>0.94621332258724966</v>
      </c>
      <c r="FD75" s="338" t="s">
        <v>147</v>
      </c>
      <c r="FE75" s="47" t="s">
        <v>243</v>
      </c>
      <c r="FF75" s="47"/>
      <c r="FG75" s="47" t="s">
        <v>154</v>
      </c>
      <c r="FH75" s="47" t="s">
        <v>140</v>
      </c>
      <c r="FI75" s="25">
        <v>459</v>
      </c>
      <c r="FJ75" s="51" t="s">
        <v>1281</v>
      </c>
    </row>
    <row r="76" spans="1:166" ht="135.75" hidden="1" customHeight="1">
      <c r="A76" s="15">
        <v>26</v>
      </c>
      <c r="B76" s="5" t="s">
        <v>1000</v>
      </c>
      <c r="C76" s="56" t="s">
        <v>1170</v>
      </c>
      <c r="D76" s="17"/>
      <c r="E76" s="17"/>
      <c r="F76" s="47">
        <v>120175</v>
      </c>
      <c r="G76" s="18" t="s">
        <v>1310</v>
      </c>
      <c r="H76" s="19">
        <v>6500000</v>
      </c>
      <c r="I76" s="19">
        <v>6495104.1299999999</v>
      </c>
      <c r="J76" s="18" t="s">
        <v>296</v>
      </c>
      <c r="K76" s="18" t="s">
        <v>1001</v>
      </c>
      <c r="L76" s="18" t="s">
        <v>1005</v>
      </c>
      <c r="M76" s="47" t="s">
        <v>1006</v>
      </c>
      <c r="N76" s="18" t="s">
        <v>1007</v>
      </c>
      <c r="O76" s="47">
        <v>5556816768</v>
      </c>
      <c r="P76" s="20" t="s">
        <v>1063</v>
      </c>
      <c r="Q76" s="21"/>
      <c r="R76" s="22"/>
      <c r="S76" s="22"/>
      <c r="T76" s="22"/>
      <c r="U76" s="22"/>
      <c r="V76" s="48">
        <v>44824</v>
      </c>
      <c r="W76" s="48">
        <v>44826</v>
      </c>
      <c r="X76" s="23">
        <v>5599227.7000000002</v>
      </c>
      <c r="Y76" s="23">
        <f t="shared" si="4"/>
        <v>6495104.1320000002</v>
      </c>
      <c r="Z76" s="23">
        <v>6495104.1299999999</v>
      </c>
      <c r="AA76" s="204">
        <f t="shared" si="30"/>
        <v>4895.8700000001118</v>
      </c>
      <c r="AB76" s="204">
        <v>1948531.24</v>
      </c>
      <c r="AC76" s="204">
        <v>1948531.24</v>
      </c>
      <c r="AD76" s="204">
        <v>1973017.85</v>
      </c>
      <c r="AE76" s="204">
        <v>519905.36</v>
      </c>
      <c r="AF76" s="50">
        <f t="shared" si="5"/>
        <v>1453112.4900000002</v>
      </c>
      <c r="AG76" s="253">
        <v>44902</v>
      </c>
      <c r="AH76" s="204">
        <v>688221.35</v>
      </c>
      <c r="AI76" s="204">
        <v>206466.41</v>
      </c>
      <c r="AJ76" s="204">
        <f t="shared" si="6"/>
        <v>481754.93999999994</v>
      </c>
      <c r="AK76" s="253">
        <v>44974</v>
      </c>
      <c r="AL76" s="50">
        <v>872954.44</v>
      </c>
      <c r="AM76" s="50">
        <v>261886.33</v>
      </c>
      <c r="AN76" s="204">
        <f t="shared" si="26"/>
        <v>611068.11</v>
      </c>
      <c r="AO76" s="253">
        <v>44991</v>
      </c>
      <c r="AP76" s="204">
        <v>2046779.08</v>
      </c>
      <c r="AQ76" s="204">
        <v>614033.72</v>
      </c>
      <c r="AR76" s="204">
        <f t="shared" si="32"/>
        <v>1432745.36</v>
      </c>
      <c r="AS76" s="253"/>
      <c r="AT76" s="204">
        <v>383770.15</v>
      </c>
      <c r="AU76" s="204">
        <v>274239.42</v>
      </c>
      <c r="AV76" s="204">
        <f>AT76-AU76</f>
        <v>109530.73000000004</v>
      </c>
      <c r="AW76" s="249"/>
      <c r="AX76" s="204"/>
      <c r="AY76" s="204"/>
      <c r="AZ76" s="204"/>
      <c r="BA76" s="204"/>
      <c r="BB76" s="204"/>
      <c r="BC76" s="204"/>
      <c r="BD76" s="204"/>
      <c r="BE76" s="204"/>
      <c r="BF76" s="204"/>
      <c r="BG76" s="204"/>
      <c r="BH76" s="204"/>
      <c r="BI76" s="204"/>
      <c r="BJ76" s="204"/>
      <c r="BK76" s="204"/>
      <c r="BL76" s="204"/>
      <c r="BM76" s="204"/>
      <c r="BN76" s="204"/>
      <c r="BO76" s="204"/>
      <c r="BP76" s="204"/>
      <c r="BQ76" s="204"/>
      <c r="BR76" s="204"/>
      <c r="BS76" s="204"/>
      <c r="BT76" s="204"/>
      <c r="BU76" s="204"/>
      <c r="BV76" s="204"/>
      <c r="BW76" s="204"/>
      <c r="BX76" s="204"/>
      <c r="BY76" s="204"/>
      <c r="BZ76" s="204"/>
      <c r="CA76" s="204"/>
      <c r="CB76" s="204"/>
      <c r="CC76" s="204"/>
      <c r="CD76" s="204"/>
      <c r="CE76" s="204"/>
      <c r="CF76" s="204"/>
      <c r="CG76" s="204"/>
      <c r="CH76" s="204"/>
      <c r="CI76" s="204"/>
      <c r="CJ76" s="204"/>
      <c r="CK76" s="204"/>
      <c r="CL76" s="204"/>
      <c r="CM76" s="204"/>
      <c r="CN76" s="204"/>
      <c r="CO76" s="204"/>
      <c r="CP76" s="204"/>
      <c r="CQ76" s="204"/>
      <c r="CR76" s="204"/>
      <c r="CS76" s="204"/>
      <c r="CT76" s="204"/>
      <c r="CU76" s="204"/>
      <c r="CV76" s="204"/>
      <c r="CW76" s="204"/>
      <c r="CX76" s="204"/>
      <c r="CY76" s="204"/>
      <c r="CZ76" s="204"/>
      <c r="DA76" s="204"/>
      <c r="DB76" s="204"/>
      <c r="DC76" s="204"/>
      <c r="DD76" s="204"/>
      <c r="DE76" s="204"/>
      <c r="DF76" s="204"/>
      <c r="DG76" s="204"/>
      <c r="DH76" s="204"/>
      <c r="DI76" s="204"/>
      <c r="DJ76" s="204"/>
      <c r="DK76" s="204"/>
      <c r="DL76" s="204"/>
      <c r="DM76" s="204"/>
      <c r="DN76" s="204"/>
      <c r="DO76" s="204"/>
      <c r="DP76" s="204"/>
      <c r="DQ76" s="204"/>
      <c r="DR76" s="204"/>
      <c r="DS76" s="204"/>
      <c r="DT76" s="204"/>
      <c r="DU76" s="204"/>
      <c r="DV76" s="204"/>
      <c r="DW76" s="204"/>
      <c r="DX76" s="204"/>
      <c r="DY76" s="204"/>
      <c r="DZ76" s="204"/>
      <c r="EA76" s="204"/>
      <c r="EB76" s="204"/>
      <c r="EC76" s="204"/>
      <c r="ED76" s="204"/>
      <c r="EE76" s="204"/>
      <c r="EF76" s="204"/>
      <c r="EG76" s="204"/>
      <c r="EH76" s="250">
        <f t="shared" si="27"/>
        <v>5964742.870000001</v>
      </c>
      <c r="EI76" s="250">
        <f t="shared" si="18"/>
        <v>1876531.2399999998</v>
      </c>
      <c r="EJ76" s="250">
        <f t="shared" si="18"/>
        <v>4088211.6300000004</v>
      </c>
      <c r="EK76" s="204">
        <f t="shared" si="10"/>
        <v>6036742.870000001</v>
      </c>
      <c r="EL76" s="204">
        <f t="shared" si="24"/>
        <v>72000.000000000233</v>
      </c>
      <c r="EM76" s="255">
        <f t="shared" si="12"/>
        <v>530361.25999999885</v>
      </c>
      <c r="EN76" s="204">
        <f t="shared" si="13"/>
        <v>1876531.2400000007</v>
      </c>
      <c r="EO76" s="204">
        <f t="shared" si="14"/>
        <v>535257.12999999896</v>
      </c>
      <c r="EP76" s="204"/>
      <c r="EQ76" s="55">
        <v>44827</v>
      </c>
      <c r="ER76" s="55">
        <v>44611</v>
      </c>
      <c r="ES76" s="18"/>
      <c r="ET76" s="18"/>
      <c r="EU76" s="18"/>
      <c r="EV76" s="18"/>
      <c r="EW76" s="18"/>
      <c r="EX76" s="18"/>
      <c r="EY76" s="331">
        <f t="shared" si="31"/>
        <v>0.91834445616501625</v>
      </c>
      <c r="EZ76" s="332">
        <v>1</v>
      </c>
      <c r="FA76" s="336"/>
      <c r="FB76" s="336">
        <f t="shared" si="16"/>
        <v>-1</v>
      </c>
      <c r="FC76" s="337">
        <f t="shared" si="25"/>
        <v>0.92942972878865937</v>
      </c>
      <c r="FD76" s="338" t="s">
        <v>147</v>
      </c>
      <c r="FE76" s="47" t="s">
        <v>271</v>
      </c>
      <c r="FF76" s="47"/>
      <c r="FG76" s="47" t="s">
        <v>157</v>
      </c>
      <c r="FH76" s="47" t="s">
        <v>169</v>
      </c>
      <c r="FI76" s="25">
        <v>6500</v>
      </c>
      <c r="FJ76" s="51" t="s">
        <v>962</v>
      </c>
    </row>
    <row r="77" spans="1:166" ht="135.75" hidden="1" customHeight="1">
      <c r="A77" s="15">
        <v>27</v>
      </c>
      <c r="B77" s="5" t="s">
        <v>206</v>
      </c>
      <c r="C77" s="56" t="s">
        <v>249</v>
      </c>
      <c r="D77" s="17"/>
      <c r="E77" s="17"/>
      <c r="F77" s="47">
        <v>120226</v>
      </c>
      <c r="G77" s="18" t="s">
        <v>202</v>
      </c>
      <c r="H77" s="19">
        <v>3000000</v>
      </c>
      <c r="I77" s="19">
        <v>2999851.65</v>
      </c>
      <c r="J77" s="18" t="s">
        <v>205</v>
      </c>
      <c r="K77" s="18" t="s">
        <v>182</v>
      </c>
      <c r="L77" s="18" t="s">
        <v>183</v>
      </c>
      <c r="M77" s="47" t="s">
        <v>184</v>
      </c>
      <c r="N77" s="18" t="s">
        <v>207</v>
      </c>
      <c r="O77" s="47">
        <v>7222152219</v>
      </c>
      <c r="P77" s="20" t="s">
        <v>203</v>
      </c>
      <c r="Q77" s="21"/>
      <c r="R77" s="22"/>
      <c r="S77" s="22"/>
      <c r="T77" s="22"/>
      <c r="U77" s="22"/>
      <c r="V77" s="48">
        <v>44635</v>
      </c>
      <c r="W77" s="48">
        <v>44637</v>
      </c>
      <c r="X77" s="23">
        <v>2586079.0099999998</v>
      </c>
      <c r="Y77" s="23">
        <f t="shared" si="4"/>
        <v>2999851.6515999995</v>
      </c>
      <c r="Z77" s="23">
        <v>2999851.65</v>
      </c>
      <c r="AA77" s="204">
        <f t="shared" si="30"/>
        <v>148.35000000009313</v>
      </c>
      <c r="AB77" s="204">
        <v>899955.5</v>
      </c>
      <c r="AC77" s="50">
        <v>899955.5</v>
      </c>
      <c r="AD77" s="204">
        <v>1517031.05</v>
      </c>
      <c r="AE77" s="204">
        <v>455109.32</v>
      </c>
      <c r="AF77" s="50">
        <f t="shared" ref="AF77:AF108" si="33">AD77-AE77</f>
        <v>1061921.73</v>
      </c>
      <c r="AG77" s="253">
        <v>44692</v>
      </c>
      <c r="AH77" s="204">
        <v>751377.17</v>
      </c>
      <c r="AI77" s="204">
        <v>225413.15</v>
      </c>
      <c r="AJ77" s="204">
        <f t="shared" ref="AJ77:AJ101" si="34">AH77-AI77</f>
        <v>525964.02</v>
      </c>
      <c r="AK77" s="253">
        <v>44746</v>
      </c>
      <c r="AL77" s="50">
        <v>490291.08</v>
      </c>
      <c r="AM77" s="50">
        <v>147087.32</v>
      </c>
      <c r="AN77" s="204">
        <f t="shared" si="26"/>
        <v>343203.76</v>
      </c>
      <c r="AO77" s="253">
        <v>44760</v>
      </c>
      <c r="AP77" s="204">
        <v>234195.59</v>
      </c>
      <c r="AQ77" s="204">
        <v>72345.710000000006</v>
      </c>
      <c r="AR77" s="204">
        <f t="shared" si="32"/>
        <v>161849.88</v>
      </c>
      <c r="AS77" s="253">
        <v>44904</v>
      </c>
      <c r="AT77" s="204">
        <v>6876.56</v>
      </c>
      <c r="AU77" s="204">
        <v>0</v>
      </c>
      <c r="AV77" s="204">
        <f>AT77-AU77</f>
        <v>6876.56</v>
      </c>
      <c r="AW77" s="249"/>
      <c r="AX77" s="204"/>
      <c r="AY77" s="204"/>
      <c r="AZ77" s="204"/>
      <c r="BA77" s="204"/>
      <c r="BB77" s="204"/>
      <c r="BC77" s="204"/>
      <c r="BD77" s="204"/>
      <c r="BE77" s="204"/>
      <c r="BF77" s="204"/>
      <c r="BG77" s="204"/>
      <c r="BH77" s="204"/>
      <c r="BI77" s="204"/>
      <c r="BJ77" s="204"/>
      <c r="BK77" s="204"/>
      <c r="BL77" s="204"/>
      <c r="BM77" s="204"/>
      <c r="BN77" s="204"/>
      <c r="BO77" s="204"/>
      <c r="BP77" s="204"/>
      <c r="BQ77" s="204"/>
      <c r="BR77" s="204"/>
      <c r="BS77" s="204"/>
      <c r="BT77" s="204"/>
      <c r="BU77" s="204"/>
      <c r="BV77" s="204"/>
      <c r="BW77" s="204"/>
      <c r="BX77" s="204"/>
      <c r="BY77" s="204"/>
      <c r="BZ77" s="204"/>
      <c r="CA77" s="204"/>
      <c r="CB77" s="204"/>
      <c r="CC77" s="204"/>
      <c r="CD77" s="204"/>
      <c r="CE77" s="204"/>
      <c r="CF77" s="204"/>
      <c r="CG77" s="204"/>
      <c r="CH77" s="204"/>
      <c r="CI77" s="204"/>
      <c r="CJ77" s="204"/>
      <c r="CK77" s="204"/>
      <c r="CL77" s="204"/>
      <c r="CM77" s="204"/>
      <c r="CN77" s="204"/>
      <c r="CO77" s="204"/>
      <c r="CP77" s="204"/>
      <c r="CQ77" s="204"/>
      <c r="CR77" s="204"/>
      <c r="CS77" s="204"/>
      <c r="CT77" s="204"/>
      <c r="CU77" s="204"/>
      <c r="CV77" s="204"/>
      <c r="CW77" s="204"/>
      <c r="CX77" s="204"/>
      <c r="CY77" s="204"/>
      <c r="CZ77" s="204"/>
      <c r="DA77" s="204"/>
      <c r="DB77" s="204"/>
      <c r="DC77" s="204"/>
      <c r="DD77" s="204"/>
      <c r="DE77" s="204"/>
      <c r="DF77" s="204"/>
      <c r="DG77" s="204"/>
      <c r="DH77" s="204"/>
      <c r="DI77" s="204"/>
      <c r="DJ77" s="204"/>
      <c r="DK77" s="204"/>
      <c r="DL77" s="204"/>
      <c r="DM77" s="204"/>
      <c r="DN77" s="204"/>
      <c r="DO77" s="204"/>
      <c r="DP77" s="204"/>
      <c r="DQ77" s="204"/>
      <c r="DR77" s="204"/>
      <c r="DS77" s="204"/>
      <c r="DT77" s="204"/>
      <c r="DU77" s="204"/>
      <c r="DV77" s="204"/>
      <c r="DW77" s="204"/>
      <c r="DX77" s="204"/>
      <c r="DY77" s="204"/>
      <c r="DZ77" s="204"/>
      <c r="EA77" s="204"/>
      <c r="EB77" s="204"/>
      <c r="EC77" s="204"/>
      <c r="ED77" s="204"/>
      <c r="EE77" s="204"/>
      <c r="EF77" s="204"/>
      <c r="EG77" s="204"/>
      <c r="EH77" s="250">
        <f t="shared" si="27"/>
        <v>2999771.45</v>
      </c>
      <c r="EI77" s="250">
        <f t="shared" si="18"/>
        <v>899955.5</v>
      </c>
      <c r="EJ77" s="250">
        <f t="shared" si="18"/>
        <v>2099815.9500000002</v>
      </c>
      <c r="EK77" s="204">
        <f t="shared" si="10"/>
        <v>2999771.45</v>
      </c>
      <c r="EL77" s="204">
        <f t="shared" si="24"/>
        <v>0</v>
      </c>
      <c r="EM77" s="255">
        <f t="shared" si="12"/>
        <v>80.199999999720603</v>
      </c>
      <c r="EN77" s="204">
        <f t="shared" si="13"/>
        <v>899955.5</v>
      </c>
      <c r="EO77" s="204">
        <f t="shared" si="14"/>
        <v>228.54999999981374</v>
      </c>
      <c r="EP77" s="204"/>
      <c r="EQ77" s="55">
        <v>44638</v>
      </c>
      <c r="ER77" s="55">
        <v>44787</v>
      </c>
      <c r="ES77" s="18"/>
      <c r="ET77" s="18"/>
      <c r="EU77" s="18"/>
      <c r="EV77" s="18"/>
      <c r="EW77" s="18"/>
      <c r="EX77" s="18"/>
      <c r="EY77" s="331">
        <f t="shared" si="31"/>
        <v>0.99997326534463804</v>
      </c>
      <c r="EZ77" s="332">
        <v>1</v>
      </c>
      <c r="FA77" s="336"/>
      <c r="FB77" s="336">
        <f t="shared" si="16"/>
        <v>-1</v>
      </c>
      <c r="FC77" s="337">
        <f t="shared" si="25"/>
        <v>0.99997326534463804</v>
      </c>
      <c r="FD77" s="338" t="s">
        <v>147</v>
      </c>
      <c r="FE77" s="47" t="s">
        <v>204</v>
      </c>
      <c r="FF77" s="47"/>
      <c r="FG77" s="47" t="s">
        <v>145</v>
      </c>
      <c r="FH77" s="47" t="s">
        <v>140</v>
      </c>
      <c r="FI77" s="25">
        <v>10700</v>
      </c>
      <c r="FJ77" s="51" t="s">
        <v>962</v>
      </c>
    </row>
    <row r="78" spans="1:166" ht="135.75" hidden="1" customHeight="1">
      <c r="A78" s="15">
        <f>A77+1</f>
        <v>28</v>
      </c>
      <c r="B78" s="5" t="s">
        <v>206</v>
      </c>
      <c r="C78" s="56" t="s">
        <v>714</v>
      </c>
      <c r="D78" s="17"/>
      <c r="E78" s="17"/>
      <c r="F78" s="47">
        <v>120221</v>
      </c>
      <c r="G78" s="18" t="s">
        <v>208</v>
      </c>
      <c r="H78" s="19">
        <v>10000000</v>
      </c>
      <c r="I78" s="19">
        <v>9999186.8300000001</v>
      </c>
      <c r="J78" s="18" t="s">
        <v>205</v>
      </c>
      <c r="K78" s="18" t="s">
        <v>209</v>
      </c>
      <c r="L78" s="18" t="s">
        <v>210</v>
      </c>
      <c r="M78" s="47" t="s">
        <v>211</v>
      </c>
      <c r="N78" s="18" t="s">
        <v>212</v>
      </c>
      <c r="O78" s="47">
        <v>5535559265</v>
      </c>
      <c r="P78" s="20" t="s">
        <v>233</v>
      </c>
      <c r="Q78" s="21"/>
      <c r="R78" s="22"/>
      <c r="S78" s="22"/>
      <c r="T78" s="22"/>
      <c r="U78" s="22"/>
      <c r="V78" s="48">
        <v>44666</v>
      </c>
      <c r="W78" s="48">
        <v>44670</v>
      </c>
      <c r="X78" s="23">
        <v>8619988.6500000004</v>
      </c>
      <c r="Y78" s="23">
        <f t="shared" si="4"/>
        <v>9999186.8339999989</v>
      </c>
      <c r="Z78" s="23">
        <v>9999186.8300000001</v>
      </c>
      <c r="AA78" s="204">
        <f t="shared" si="30"/>
        <v>813.16999999992549</v>
      </c>
      <c r="AB78" s="204">
        <v>2999756.05</v>
      </c>
      <c r="AC78" s="204">
        <v>2999756.05</v>
      </c>
      <c r="AD78" s="204">
        <v>2180568.7000000002</v>
      </c>
      <c r="AE78" s="204">
        <v>654170.61</v>
      </c>
      <c r="AF78" s="50">
        <f t="shared" si="33"/>
        <v>1526398.0900000003</v>
      </c>
      <c r="AG78" s="253">
        <v>44750</v>
      </c>
      <c r="AH78" s="204">
        <v>860313.74</v>
      </c>
      <c r="AI78" s="204">
        <v>258094.12</v>
      </c>
      <c r="AJ78" s="204">
        <f t="shared" si="34"/>
        <v>602219.62</v>
      </c>
      <c r="AK78" s="253">
        <v>44798</v>
      </c>
      <c r="AL78" s="50">
        <v>1274964.04</v>
      </c>
      <c r="AM78" s="50">
        <v>382489.21</v>
      </c>
      <c r="AN78" s="204">
        <f t="shared" si="26"/>
        <v>892474.83000000007</v>
      </c>
      <c r="AO78" s="253">
        <v>44838</v>
      </c>
      <c r="AP78" s="204">
        <v>1709007.5</v>
      </c>
      <c r="AQ78" s="204">
        <v>512702.25</v>
      </c>
      <c r="AR78" s="204">
        <f t="shared" si="32"/>
        <v>1196305.25</v>
      </c>
      <c r="AS78" s="253">
        <v>44872</v>
      </c>
      <c r="AT78" s="204">
        <v>2194120.84</v>
      </c>
      <c r="AU78" s="204">
        <v>658236.25</v>
      </c>
      <c r="AV78" s="204">
        <f>AT78-AU78</f>
        <v>1535884.5899999999</v>
      </c>
      <c r="AW78" s="249">
        <v>44894</v>
      </c>
      <c r="AX78" s="204">
        <v>1780099.07</v>
      </c>
      <c r="AY78" s="204">
        <v>534063.61</v>
      </c>
      <c r="AZ78" s="204">
        <f>AX78-AY78</f>
        <v>1246035.46</v>
      </c>
      <c r="BA78" s="249">
        <v>44894</v>
      </c>
      <c r="BB78" s="204">
        <v>52.46</v>
      </c>
      <c r="BC78" s="204">
        <v>0</v>
      </c>
      <c r="BD78" s="204">
        <f>BB78-BC78</f>
        <v>52.46</v>
      </c>
      <c r="BE78" s="204" t="s">
        <v>1261</v>
      </c>
      <c r="BF78" s="204"/>
      <c r="BG78" s="204"/>
      <c r="BH78" s="204"/>
      <c r="BI78" s="204"/>
      <c r="BJ78" s="204"/>
      <c r="BK78" s="204"/>
      <c r="BL78" s="204"/>
      <c r="BM78" s="204"/>
      <c r="BN78" s="204"/>
      <c r="BO78" s="204"/>
      <c r="BP78" s="204"/>
      <c r="BQ78" s="204"/>
      <c r="BR78" s="204"/>
      <c r="BS78" s="204"/>
      <c r="BT78" s="204"/>
      <c r="BU78" s="204"/>
      <c r="BV78" s="204"/>
      <c r="BW78" s="204"/>
      <c r="BX78" s="204"/>
      <c r="BY78" s="204"/>
      <c r="BZ78" s="204"/>
      <c r="CA78" s="204"/>
      <c r="CB78" s="204"/>
      <c r="CC78" s="204"/>
      <c r="CD78" s="204"/>
      <c r="CE78" s="204"/>
      <c r="CF78" s="204"/>
      <c r="CG78" s="204"/>
      <c r="CH78" s="204"/>
      <c r="CI78" s="204"/>
      <c r="CJ78" s="204"/>
      <c r="CK78" s="204"/>
      <c r="CL78" s="204"/>
      <c r="CM78" s="204"/>
      <c r="CN78" s="204"/>
      <c r="CO78" s="204"/>
      <c r="CP78" s="204"/>
      <c r="CQ78" s="204"/>
      <c r="CR78" s="204"/>
      <c r="CS78" s="204"/>
      <c r="CT78" s="204"/>
      <c r="CU78" s="204"/>
      <c r="CV78" s="204"/>
      <c r="CW78" s="204"/>
      <c r="CX78" s="204"/>
      <c r="CY78" s="204"/>
      <c r="CZ78" s="204"/>
      <c r="DA78" s="204"/>
      <c r="DB78" s="204"/>
      <c r="DC78" s="204"/>
      <c r="DD78" s="204"/>
      <c r="DE78" s="204"/>
      <c r="DF78" s="204"/>
      <c r="DG78" s="204"/>
      <c r="DH78" s="204"/>
      <c r="DI78" s="204"/>
      <c r="DJ78" s="204"/>
      <c r="DK78" s="204"/>
      <c r="DL78" s="204"/>
      <c r="DM78" s="204"/>
      <c r="DN78" s="204"/>
      <c r="DO78" s="204"/>
      <c r="DP78" s="204"/>
      <c r="DQ78" s="204"/>
      <c r="DR78" s="204"/>
      <c r="DS78" s="204"/>
      <c r="DT78" s="204"/>
      <c r="DU78" s="204"/>
      <c r="DV78" s="204"/>
      <c r="DW78" s="204"/>
      <c r="DX78" s="204"/>
      <c r="DY78" s="204"/>
      <c r="DZ78" s="204"/>
      <c r="EA78" s="204"/>
      <c r="EB78" s="204"/>
      <c r="EC78" s="204"/>
      <c r="ED78" s="204"/>
      <c r="EE78" s="204"/>
      <c r="EF78" s="204"/>
      <c r="EG78" s="204"/>
      <c r="EH78" s="250">
        <f t="shared" si="27"/>
        <v>9999126.3500000015</v>
      </c>
      <c r="EI78" s="250">
        <f t="shared" si="18"/>
        <v>2999756.05</v>
      </c>
      <c r="EJ78" s="250">
        <f t="shared" si="18"/>
        <v>6999370.3000000007</v>
      </c>
      <c r="EK78" s="204">
        <f t="shared" si="10"/>
        <v>9999126.3500000015</v>
      </c>
      <c r="EL78" s="204">
        <f t="shared" si="24"/>
        <v>0</v>
      </c>
      <c r="EM78" s="255">
        <f t="shared" si="12"/>
        <v>60.47999999858439</v>
      </c>
      <c r="EN78" s="204">
        <f t="shared" si="13"/>
        <v>2999756.0500000007</v>
      </c>
      <c r="EO78" s="204">
        <f t="shared" si="14"/>
        <v>873.64999999850988</v>
      </c>
      <c r="EP78" s="204"/>
      <c r="EQ78" s="55">
        <v>44671</v>
      </c>
      <c r="ER78" s="55">
        <v>44820</v>
      </c>
      <c r="ES78" s="18"/>
      <c r="ET78" s="47" t="s">
        <v>1214</v>
      </c>
      <c r="EU78" s="18"/>
      <c r="EV78" s="18"/>
      <c r="EW78" s="18"/>
      <c r="EX78" s="47" t="s">
        <v>1379</v>
      </c>
      <c r="EY78" s="331">
        <f t="shared" si="31"/>
        <v>0.99999395150815495</v>
      </c>
      <c r="EZ78" s="332">
        <v>1</v>
      </c>
      <c r="FA78" s="336"/>
      <c r="FB78" s="336">
        <f t="shared" si="16"/>
        <v>-1</v>
      </c>
      <c r="FC78" s="337">
        <f t="shared" si="25"/>
        <v>0.99999395150815495</v>
      </c>
      <c r="FD78" s="338" t="s">
        <v>147</v>
      </c>
      <c r="FE78" s="47" t="s">
        <v>214</v>
      </c>
      <c r="FF78" s="47"/>
      <c r="FG78" s="47" t="s">
        <v>177</v>
      </c>
      <c r="FH78" s="47" t="s">
        <v>169</v>
      </c>
      <c r="FI78" s="25">
        <v>1885</v>
      </c>
      <c r="FJ78" s="51" t="s">
        <v>1265</v>
      </c>
    </row>
    <row r="79" spans="1:166" ht="163.5" hidden="1" customHeight="1">
      <c r="A79" s="15">
        <f>A78+1</f>
        <v>29</v>
      </c>
      <c r="B79" s="5" t="s">
        <v>206</v>
      </c>
      <c r="C79" s="56" t="s">
        <v>898</v>
      </c>
      <c r="D79" s="17"/>
      <c r="E79" s="17"/>
      <c r="F79" s="47">
        <v>120225</v>
      </c>
      <c r="G79" s="18" t="s">
        <v>217</v>
      </c>
      <c r="H79" s="19">
        <v>5500000</v>
      </c>
      <c r="I79" s="19">
        <v>5482903.1900000004</v>
      </c>
      <c r="J79" s="18" t="s">
        <v>205</v>
      </c>
      <c r="K79" s="18" t="s">
        <v>218</v>
      </c>
      <c r="L79" s="18" t="s">
        <v>224</v>
      </c>
      <c r="M79" s="47" t="s">
        <v>225</v>
      </c>
      <c r="N79" s="18" t="s">
        <v>226</v>
      </c>
      <c r="O79" s="47">
        <v>5959549649</v>
      </c>
      <c r="P79" s="20" t="s">
        <v>232</v>
      </c>
      <c r="Q79" s="21"/>
      <c r="R79" s="22"/>
      <c r="S79" s="22"/>
      <c r="T79" s="22"/>
      <c r="U79" s="22"/>
      <c r="V79" s="48">
        <v>44677</v>
      </c>
      <c r="W79" s="48">
        <v>44679</v>
      </c>
      <c r="X79" s="23">
        <v>4726640.68</v>
      </c>
      <c r="Y79" s="23">
        <f t="shared" si="4"/>
        <v>5482903.1887999997</v>
      </c>
      <c r="Z79" s="204">
        <v>5482903.1900000004</v>
      </c>
      <c r="AA79" s="204">
        <f t="shared" si="30"/>
        <v>17096.80999999959</v>
      </c>
      <c r="AB79" s="204">
        <v>1644870.96</v>
      </c>
      <c r="AC79" s="204">
        <v>1644870.96</v>
      </c>
      <c r="AD79" s="204">
        <v>2620761.29</v>
      </c>
      <c r="AE79" s="204">
        <v>786228.39</v>
      </c>
      <c r="AF79" s="50">
        <f t="shared" si="33"/>
        <v>1834532.9</v>
      </c>
      <c r="AG79" s="248">
        <v>44791</v>
      </c>
      <c r="AH79" s="204">
        <v>2606641.41</v>
      </c>
      <c r="AI79" s="204">
        <v>781992.42</v>
      </c>
      <c r="AJ79" s="204">
        <f t="shared" si="34"/>
        <v>1824648.9900000002</v>
      </c>
      <c r="AK79" s="253">
        <v>44830</v>
      </c>
      <c r="AL79" s="50">
        <v>241028.01</v>
      </c>
      <c r="AM79" s="50">
        <v>76650.149999999994</v>
      </c>
      <c r="AN79" s="204">
        <f t="shared" si="26"/>
        <v>164377.86000000002</v>
      </c>
      <c r="AO79" s="312" t="s">
        <v>1076</v>
      </c>
      <c r="AP79" s="204"/>
      <c r="AQ79" s="204"/>
      <c r="AR79" s="204">
        <f t="shared" si="32"/>
        <v>0</v>
      </c>
      <c r="AS79" s="204"/>
      <c r="AT79" s="204"/>
      <c r="AU79" s="204"/>
      <c r="AV79" s="204"/>
      <c r="AW79" s="204"/>
      <c r="AX79" s="204"/>
      <c r="AY79" s="204"/>
      <c r="AZ79" s="204"/>
      <c r="BA79" s="204"/>
      <c r="BB79" s="204"/>
      <c r="BC79" s="204"/>
      <c r="BD79" s="204"/>
      <c r="BE79" s="204"/>
      <c r="BF79" s="204"/>
      <c r="BG79" s="204"/>
      <c r="BH79" s="204"/>
      <c r="BI79" s="204"/>
      <c r="BJ79" s="204"/>
      <c r="BK79" s="204"/>
      <c r="BL79" s="204"/>
      <c r="BM79" s="204"/>
      <c r="BN79" s="204"/>
      <c r="BO79" s="204"/>
      <c r="BP79" s="204"/>
      <c r="BQ79" s="204"/>
      <c r="BR79" s="204"/>
      <c r="BS79" s="204"/>
      <c r="BT79" s="204"/>
      <c r="BU79" s="204"/>
      <c r="BV79" s="204"/>
      <c r="BW79" s="204"/>
      <c r="BX79" s="204"/>
      <c r="BY79" s="204"/>
      <c r="BZ79" s="204"/>
      <c r="CA79" s="204"/>
      <c r="CB79" s="204"/>
      <c r="CC79" s="204"/>
      <c r="CD79" s="204"/>
      <c r="CE79" s="204"/>
      <c r="CF79" s="204"/>
      <c r="CG79" s="204"/>
      <c r="CH79" s="204"/>
      <c r="CI79" s="204"/>
      <c r="CJ79" s="204"/>
      <c r="CK79" s="204"/>
      <c r="CL79" s="204"/>
      <c r="CM79" s="204"/>
      <c r="CN79" s="204"/>
      <c r="CO79" s="204"/>
      <c r="CP79" s="204"/>
      <c r="CQ79" s="204"/>
      <c r="CR79" s="204"/>
      <c r="CS79" s="204"/>
      <c r="CT79" s="204"/>
      <c r="CU79" s="204"/>
      <c r="CV79" s="204"/>
      <c r="CW79" s="204"/>
      <c r="CX79" s="204"/>
      <c r="CY79" s="204"/>
      <c r="CZ79" s="204"/>
      <c r="DA79" s="204"/>
      <c r="DB79" s="204"/>
      <c r="DC79" s="204"/>
      <c r="DD79" s="204"/>
      <c r="DE79" s="204"/>
      <c r="DF79" s="204"/>
      <c r="DG79" s="204"/>
      <c r="DH79" s="204"/>
      <c r="DI79" s="204"/>
      <c r="DJ79" s="204"/>
      <c r="DK79" s="204"/>
      <c r="DL79" s="204"/>
      <c r="DM79" s="204"/>
      <c r="DN79" s="204"/>
      <c r="DO79" s="204"/>
      <c r="DP79" s="204"/>
      <c r="DQ79" s="204"/>
      <c r="DR79" s="204"/>
      <c r="DS79" s="204"/>
      <c r="DT79" s="204"/>
      <c r="DU79" s="204"/>
      <c r="DV79" s="204"/>
      <c r="DW79" s="204"/>
      <c r="DX79" s="204"/>
      <c r="DY79" s="204"/>
      <c r="DZ79" s="204"/>
      <c r="EA79" s="204"/>
      <c r="EB79" s="204"/>
      <c r="EC79" s="204"/>
      <c r="ED79" s="204"/>
      <c r="EE79" s="204"/>
      <c r="EF79" s="204"/>
      <c r="EG79" s="204"/>
      <c r="EH79" s="250">
        <f t="shared" si="27"/>
        <v>5468430.71</v>
      </c>
      <c r="EI79" s="250">
        <f t="shared" si="18"/>
        <v>1644870.96</v>
      </c>
      <c r="EJ79" s="250">
        <f t="shared" si="18"/>
        <v>3823559.75</v>
      </c>
      <c r="EK79" s="204">
        <f t="shared" si="10"/>
        <v>5468430.71</v>
      </c>
      <c r="EL79" s="204">
        <f t="shared" si="24"/>
        <v>0</v>
      </c>
      <c r="EM79" s="255">
        <f t="shared" si="12"/>
        <v>14472.480000000447</v>
      </c>
      <c r="EN79" s="204">
        <f t="shared" si="13"/>
        <v>1644870.96</v>
      </c>
      <c r="EO79" s="204">
        <f t="shared" si="14"/>
        <v>31569.290000000037</v>
      </c>
      <c r="EP79" s="204"/>
      <c r="EQ79" s="55">
        <v>44680</v>
      </c>
      <c r="ER79" s="55">
        <v>44859</v>
      </c>
      <c r="ES79" s="18"/>
      <c r="ET79" s="18"/>
      <c r="EU79" s="19"/>
      <c r="EV79" s="18"/>
      <c r="EW79" s="18"/>
      <c r="EX79" s="54" t="s">
        <v>1328</v>
      </c>
      <c r="EY79" s="331">
        <f t="shared" si="31"/>
        <v>0.9973604348830386</v>
      </c>
      <c r="EZ79" s="332">
        <v>1</v>
      </c>
      <c r="FA79" s="336"/>
      <c r="FB79" s="336">
        <f t="shared" si="16"/>
        <v>-1</v>
      </c>
      <c r="FC79" s="337">
        <f t="shared" si="25"/>
        <v>0.9973604348830386</v>
      </c>
      <c r="FD79" s="338" t="s">
        <v>147</v>
      </c>
      <c r="FE79" s="47" t="s">
        <v>219</v>
      </c>
      <c r="FF79" s="47"/>
      <c r="FG79" s="47" t="s">
        <v>138</v>
      </c>
      <c r="FH79" s="47" t="s">
        <v>148</v>
      </c>
      <c r="FI79" s="25">
        <v>15000</v>
      </c>
      <c r="FJ79" s="51" t="s">
        <v>1281</v>
      </c>
    </row>
    <row r="80" spans="1:166" ht="182.25" hidden="1" customHeight="1">
      <c r="A80" s="15">
        <v>4</v>
      </c>
      <c r="B80" s="5" t="s">
        <v>206</v>
      </c>
      <c r="C80" s="56" t="s">
        <v>714</v>
      </c>
      <c r="D80" s="17"/>
      <c r="E80" s="17"/>
      <c r="F80" s="47">
        <v>120219</v>
      </c>
      <c r="G80" s="18" t="s">
        <v>215</v>
      </c>
      <c r="H80" s="19">
        <v>14000000</v>
      </c>
      <c r="I80" s="19">
        <v>13584475.77</v>
      </c>
      <c r="J80" s="18" t="s">
        <v>205</v>
      </c>
      <c r="K80" s="18" t="s">
        <v>216</v>
      </c>
      <c r="L80" s="18" t="s">
        <v>227</v>
      </c>
      <c r="M80" s="47" t="s">
        <v>188</v>
      </c>
      <c r="N80" s="18" t="s">
        <v>228</v>
      </c>
      <c r="O80" s="47">
        <v>7222714121</v>
      </c>
      <c r="P80" s="20" t="s">
        <v>236</v>
      </c>
      <c r="Q80" s="21"/>
      <c r="R80" s="22"/>
      <c r="S80" s="22"/>
      <c r="T80" s="22"/>
      <c r="U80" s="22"/>
      <c r="V80" s="48">
        <v>44677</v>
      </c>
      <c r="W80" s="48">
        <v>44679</v>
      </c>
      <c r="X80" s="23">
        <v>11710754.970000001</v>
      </c>
      <c r="Y80" s="23">
        <f t="shared" si="4"/>
        <v>13584475.7652</v>
      </c>
      <c r="Z80" s="204">
        <v>13584475.77</v>
      </c>
      <c r="AA80" s="204">
        <f t="shared" si="30"/>
        <v>415524.23000000045</v>
      </c>
      <c r="AB80" s="204">
        <v>0</v>
      </c>
      <c r="AC80" s="204">
        <v>0</v>
      </c>
      <c r="AD80" s="204">
        <v>1234240.96</v>
      </c>
      <c r="AE80" s="204">
        <v>0</v>
      </c>
      <c r="AF80" s="50">
        <f t="shared" si="33"/>
        <v>1234240.96</v>
      </c>
      <c r="AG80" s="253">
        <v>44811</v>
      </c>
      <c r="AH80" s="204">
        <v>503389.13</v>
      </c>
      <c r="AI80" s="204">
        <v>0</v>
      </c>
      <c r="AJ80" s="204">
        <f t="shared" si="34"/>
        <v>503389.13</v>
      </c>
      <c r="AK80" s="253">
        <v>44853</v>
      </c>
      <c r="AL80" s="50">
        <v>320999.90999999997</v>
      </c>
      <c r="AM80" s="254">
        <v>0</v>
      </c>
      <c r="AN80" s="204">
        <f t="shared" si="26"/>
        <v>320999.90999999997</v>
      </c>
      <c r="AO80" s="253">
        <v>44895</v>
      </c>
      <c r="AP80" s="204">
        <v>463244.62</v>
      </c>
      <c r="AQ80" s="204">
        <v>0</v>
      </c>
      <c r="AR80" s="204">
        <f t="shared" si="32"/>
        <v>463244.62</v>
      </c>
      <c r="AS80" s="253">
        <v>44895</v>
      </c>
      <c r="AT80" s="204">
        <v>294594.92</v>
      </c>
      <c r="AU80" s="204">
        <v>0</v>
      </c>
      <c r="AV80" s="204">
        <f>AT80-AU80</f>
        <v>294594.92</v>
      </c>
      <c r="AW80" s="253">
        <v>44895</v>
      </c>
      <c r="AX80" s="204">
        <v>571777.80000000005</v>
      </c>
      <c r="AY80" s="204">
        <v>0</v>
      </c>
      <c r="AZ80" s="204">
        <f>AX80-AY80</f>
        <v>571777.80000000005</v>
      </c>
      <c r="BA80" s="253">
        <v>44903</v>
      </c>
      <c r="BB80" s="204">
        <v>1676847.42</v>
      </c>
      <c r="BC80" s="204">
        <v>0</v>
      </c>
      <c r="BD80" s="204">
        <f>BB80-BC80</f>
        <v>1676847.42</v>
      </c>
      <c r="BE80" s="253">
        <v>45002</v>
      </c>
      <c r="BF80" s="204">
        <v>622422.29</v>
      </c>
      <c r="BG80" s="204">
        <v>0</v>
      </c>
      <c r="BH80" s="204">
        <f>BF80-BG80</f>
        <v>622422.29</v>
      </c>
      <c r="BI80" s="204"/>
      <c r="BJ80" s="204"/>
      <c r="BK80" s="204"/>
      <c r="BL80" s="204"/>
      <c r="BM80" s="204"/>
      <c r="BN80" s="204"/>
      <c r="BO80" s="204"/>
      <c r="BP80" s="204"/>
      <c r="BQ80" s="204"/>
      <c r="BR80" s="204"/>
      <c r="BS80" s="204"/>
      <c r="BT80" s="204"/>
      <c r="BU80" s="204"/>
      <c r="BV80" s="204"/>
      <c r="BW80" s="204"/>
      <c r="BX80" s="204"/>
      <c r="BY80" s="204"/>
      <c r="BZ80" s="204"/>
      <c r="CA80" s="204"/>
      <c r="CB80" s="204"/>
      <c r="CC80" s="204"/>
      <c r="CD80" s="204"/>
      <c r="CE80" s="204"/>
      <c r="CF80" s="204"/>
      <c r="CG80" s="204"/>
      <c r="CH80" s="204"/>
      <c r="CI80" s="204"/>
      <c r="CJ80" s="204"/>
      <c r="CK80" s="204"/>
      <c r="CL80" s="204"/>
      <c r="CM80" s="204"/>
      <c r="CN80" s="204"/>
      <c r="CO80" s="204"/>
      <c r="CP80" s="204"/>
      <c r="CQ80" s="204"/>
      <c r="CR80" s="204"/>
      <c r="CS80" s="204"/>
      <c r="CT80" s="204"/>
      <c r="CU80" s="204"/>
      <c r="CV80" s="204"/>
      <c r="CW80" s="204"/>
      <c r="CX80" s="204"/>
      <c r="CY80" s="204"/>
      <c r="CZ80" s="204"/>
      <c r="DA80" s="204"/>
      <c r="DB80" s="204"/>
      <c r="DC80" s="204"/>
      <c r="DD80" s="204"/>
      <c r="DE80" s="204"/>
      <c r="DF80" s="204"/>
      <c r="DG80" s="204"/>
      <c r="DH80" s="204"/>
      <c r="DI80" s="204"/>
      <c r="DJ80" s="204"/>
      <c r="DK80" s="204"/>
      <c r="DL80" s="204"/>
      <c r="DM80" s="204"/>
      <c r="DN80" s="204"/>
      <c r="DO80" s="204"/>
      <c r="DP80" s="204"/>
      <c r="DQ80" s="204"/>
      <c r="DR80" s="204"/>
      <c r="DS80" s="204"/>
      <c r="DT80" s="204"/>
      <c r="DU80" s="204"/>
      <c r="DV80" s="204"/>
      <c r="DW80" s="204"/>
      <c r="DX80" s="204"/>
      <c r="DY80" s="204"/>
      <c r="DZ80" s="204"/>
      <c r="EA80" s="204"/>
      <c r="EB80" s="204"/>
      <c r="EC80" s="204"/>
      <c r="ED80" s="204"/>
      <c r="EE80" s="204"/>
      <c r="EF80" s="204"/>
      <c r="EG80" s="204"/>
      <c r="EH80" s="250">
        <f t="shared" si="27"/>
        <v>5687517.0499999998</v>
      </c>
      <c r="EI80" s="250">
        <f t="shared" si="18"/>
        <v>0</v>
      </c>
      <c r="EJ80" s="250">
        <f t="shared" si="18"/>
        <v>5687517.0499999998</v>
      </c>
      <c r="EK80" s="204">
        <f t="shared" si="10"/>
        <v>5687517.0499999998</v>
      </c>
      <c r="EL80" s="204">
        <f t="shared" si="24"/>
        <v>0</v>
      </c>
      <c r="EM80" s="204">
        <f t="shared" si="12"/>
        <v>7896958.7199999997</v>
      </c>
      <c r="EN80" s="204">
        <f t="shared" si="13"/>
        <v>0</v>
      </c>
      <c r="EO80" s="204">
        <f t="shared" si="14"/>
        <v>8312482.9500000002</v>
      </c>
      <c r="EP80" s="204"/>
      <c r="EQ80" s="55">
        <v>44680</v>
      </c>
      <c r="ER80" s="432">
        <v>44921</v>
      </c>
      <c r="ES80" s="18"/>
      <c r="ET80" s="47" t="s">
        <v>983</v>
      </c>
      <c r="EU80" s="47" t="s">
        <v>684</v>
      </c>
      <c r="EV80" s="18"/>
      <c r="EW80" s="18"/>
      <c r="EX80" s="18"/>
      <c r="EY80" s="331">
        <f t="shared" si="31"/>
        <v>0.41867769844754193</v>
      </c>
      <c r="EZ80" s="332">
        <v>0.9</v>
      </c>
      <c r="FA80" s="336"/>
      <c r="FB80" s="336">
        <f t="shared" si="16"/>
        <v>-0.9</v>
      </c>
      <c r="FC80" s="337">
        <f t="shared" si="25"/>
        <v>0.41867769844754193</v>
      </c>
      <c r="FD80" s="338" t="s">
        <v>149</v>
      </c>
      <c r="FE80" s="47" t="s">
        <v>151</v>
      </c>
      <c r="FF80" s="47"/>
      <c r="FG80" s="47" t="s">
        <v>162</v>
      </c>
      <c r="FH80" s="47" t="s">
        <v>169</v>
      </c>
      <c r="FI80" s="25">
        <v>12486</v>
      </c>
      <c r="FJ80" s="393" t="s">
        <v>1411</v>
      </c>
    </row>
    <row r="81" spans="1:166" ht="163.5" hidden="1" customHeight="1">
      <c r="A81" s="15">
        <v>5</v>
      </c>
      <c r="B81" s="292" t="s">
        <v>673</v>
      </c>
      <c r="C81" s="292" t="s">
        <v>673</v>
      </c>
      <c r="D81" s="17"/>
      <c r="E81" s="17"/>
      <c r="F81" s="47">
        <v>120542</v>
      </c>
      <c r="G81" s="18" t="s">
        <v>309</v>
      </c>
      <c r="H81" s="19">
        <v>52500000</v>
      </c>
      <c r="I81" s="19">
        <v>52500000</v>
      </c>
      <c r="J81" s="18" t="s">
        <v>205</v>
      </c>
      <c r="K81" s="18" t="s">
        <v>693</v>
      </c>
      <c r="L81" s="18" t="s">
        <v>694</v>
      </c>
      <c r="M81" s="47" t="s">
        <v>695</v>
      </c>
      <c r="N81" s="18" t="s">
        <v>696</v>
      </c>
      <c r="O81" s="47">
        <v>5559588502</v>
      </c>
      <c r="P81" s="20" t="s">
        <v>835</v>
      </c>
      <c r="Q81" s="21"/>
      <c r="R81" s="22"/>
      <c r="S81" s="48">
        <v>44718</v>
      </c>
      <c r="T81" s="48">
        <v>44718</v>
      </c>
      <c r="U81" s="48">
        <v>44727</v>
      </c>
      <c r="V81" s="48">
        <v>44734</v>
      </c>
      <c r="W81" s="48">
        <v>44735</v>
      </c>
      <c r="X81" s="23">
        <v>45235920.57</v>
      </c>
      <c r="Y81" s="23">
        <f t="shared" si="4"/>
        <v>52473667.861199997</v>
      </c>
      <c r="Z81" s="204">
        <v>52473667.859999999</v>
      </c>
      <c r="AA81" s="204">
        <f t="shared" si="30"/>
        <v>26332.140000000596</v>
      </c>
      <c r="AB81" s="204">
        <v>0</v>
      </c>
      <c r="AC81" s="204">
        <v>0</v>
      </c>
      <c r="AD81" s="204">
        <v>6127453.71</v>
      </c>
      <c r="AE81" s="204">
        <v>0</v>
      </c>
      <c r="AF81" s="50">
        <f t="shared" si="33"/>
        <v>6127453.71</v>
      </c>
      <c r="AG81" s="248">
        <v>44803</v>
      </c>
      <c r="AH81" s="204">
        <v>6643151.2199999997</v>
      </c>
      <c r="AI81" s="204">
        <v>0</v>
      </c>
      <c r="AJ81" s="204">
        <f t="shared" si="34"/>
        <v>6643151.2199999997</v>
      </c>
      <c r="AK81" s="249">
        <v>44853</v>
      </c>
      <c r="AL81" s="204">
        <v>15273039.74</v>
      </c>
      <c r="AM81" s="204">
        <v>0</v>
      </c>
      <c r="AN81" s="204">
        <f t="shared" si="26"/>
        <v>15273039.74</v>
      </c>
      <c r="AO81" s="249">
        <v>44876</v>
      </c>
      <c r="AP81" s="204">
        <v>6864268.9800000004</v>
      </c>
      <c r="AQ81" s="204">
        <v>0</v>
      </c>
      <c r="AR81" s="204">
        <f t="shared" si="32"/>
        <v>6864268.9800000004</v>
      </c>
      <c r="AS81" s="253">
        <v>44981</v>
      </c>
      <c r="AT81" s="204">
        <v>4593719.4000000004</v>
      </c>
      <c r="AU81" s="204">
        <v>0</v>
      </c>
      <c r="AV81" s="204">
        <f>AT81-AU81</f>
        <v>4593719.4000000004</v>
      </c>
      <c r="AW81" s="249">
        <v>45009</v>
      </c>
      <c r="AX81" s="204">
        <v>5064348.51</v>
      </c>
      <c r="AY81" s="204">
        <v>0</v>
      </c>
      <c r="AZ81" s="204">
        <f>AX81-AY81</f>
        <v>5064348.51</v>
      </c>
      <c r="BA81" s="204"/>
      <c r="BB81" s="204">
        <v>2437855.2000000002</v>
      </c>
      <c r="BC81" s="204">
        <v>0</v>
      </c>
      <c r="BD81" s="204">
        <f>BB81-BC81</f>
        <v>2437855.2000000002</v>
      </c>
      <c r="BE81" s="204"/>
      <c r="BF81" s="204">
        <v>2104932.2599999998</v>
      </c>
      <c r="BG81" s="204">
        <v>0</v>
      </c>
      <c r="BH81" s="204">
        <f>BF81-BG81</f>
        <v>2104932.2599999998</v>
      </c>
      <c r="BI81" s="204"/>
      <c r="BJ81" s="204">
        <v>3344749.97</v>
      </c>
      <c r="BK81" s="204">
        <v>0</v>
      </c>
      <c r="BL81" s="204">
        <f>BJ81-BK81</f>
        <v>3344749.97</v>
      </c>
      <c r="BM81" s="204"/>
      <c r="BN81" s="204">
        <v>0</v>
      </c>
      <c r="BO81" s="204">
        <v>0</v>
      </c>
      <c r="BP81" s="204">
        <v>0</v>
      </c>
      <c r="BQ81" s="204" t="s">
        <v>305</v>
      </c>
      <c r="BR81" s="204"/>
      <c r="BS81" s="204"/>
      <c r="BT81" s="204"/>
      <c r="BU81" s="204"/>
      <c r="BV81" s="204"/>
      <c r="BW81" s="204"/>
      <c r="BX81" s="204"/>
      <c r="BY81" s="204"/>
      <c r="BZ81" s="204"/>
      <c r="CA81" s="204"/>
      <c r="CB81" s="204"/>
      <c r="CC81" s="204"/>
      <c r="CD81" s="204"/>
      <c r="CE81" s="204"/>
      <c r="CF81" s="204"/>
      <c r="CG81" s="204"/>
      <c r="CH81" s="204"/>
      <c r="CI81" s="204"/>
      <c r="CJ81" s="204"/>
      <c r="CK81" s="204"/>
      <c r="CL81" s="204"/>
      <c r="CM81" s="204"/>
      <c r="CN81" s="204"/>
      <c r="CO81" s="204"/>
      <c r="CP81" s="204"/>
      <c r="CQ81" s="204"/>
      <c r="CR81" s="204"/>
      <c r="CS81" s="204"/>
      <c r="CT81" s="204"/>
      <c r="CU81" s="204"/>
      <c r="CV81" s="204"/>
      <c r="CW81" s="204"/>
      <c r="CX81" s="204"/>
      <c r="CY81" s="204"/>
      <c r="CZ81" s="204"/>
      <c r="DA81" s="204"/>
      <c r="DB81" s="204"/>
      <c r="DC81" s="204"/>
      <c r="DD81" s="204"/>
      <c r="DE81" s="204"/>
      <c r="DF81" s="204"/>
      <c r="DG81" s="204"/>
      <c r="DH81" s="204"/>
      <c r="DI81" s="204"/>
      <c r="DJ81" s="204"/>
      <c r="DK81" s="204"/>
      <c r="DL81" s="204"/>
      <c r="DM81" s="204"/>
      <c r="DN81" s="204"/>
      <c r="DO81" s="204"/>
      <c r="DP81" s="204"/>
      <c r="DQ81" s="204"/>
      <c r="DR81" s="204"/>
      <c r="DS81" s="204"/>
      <c r="DT81" s="204"/>
      <c r="DU81" s="204"/>
      <c r="DV81" s="204"/>
      <c r="DW81" s="204"/>
      <c r="DX81" s="204"/>
      <c r="DY81" s="204"/>
      <c r="DZ81" s="204"/>
      <c r="EA81" s="204"/>
      <c r="EB81" s="204"/>
      <c r="EC81" s="204"/>
      <c r="ED81" s="204"/>
      <c r="EE81" s="204"/>
      <c r="EF81" s="204"/>
      <c r="EG81" s="204"/>
      <c r="EH81" s="250">
        <f t="shared" si="27"/>
        <v>52453518.990000002</v>
      </c>
      <c r="EI81" s="250">
        <f t="shared" si="18"/>
        <v>0</v>
      </c>
      <c r="EJ81" s="250">
        <f t="shared" si="18"/>
        <v>52453518.990000002</v>
      </c>
      <c r="EK81" s="204">
        <f t="shared" si="10"/>
        <v>52453518.990000002</v>
      </c>
      <c r="EL81" s="204">
        <f t="shared" si="24"/>
        <v>0</v>
      </c>
      <c r="EM81" s="204">
        <f t="shared" si="12"/>
        <v>20148.869999997318</v>
      </c>
      <c r="EN81" s="204">
        <f t="shared" si="13"/>
        <v>0</v>
      </c>
      <c r="EO81" s="204">
        <f t="shared" si="14"/>
        <v>46481.009999997914</v>
      </c>
      <c r="EP81" s="204"/>
      <c r="EQ81" s="55">
        <v>44736</v>
      </c>
      <c r="ER81" s="432">
        <v>44986</v>
      </c>
      <c r="ES81" s="47"/>
      <c r="ET81" s="54" t="s">
        <v>1357</v>
      </c>
      <c r="EU81" s="57" t="s">
        <v>1314</v>
      </c>
      <c r="EV81" s="18"/>
      <c r="EW81" s="18"/>
      <c r="EX81" s="18"/>
      <c r="EY81" s="331">
        <f t="shared" si="31"/>
        <v>0.9996160194089394</v>
      </c>
      <c r="EZ81" s="332">
        <v>0.99</v>
      </c>
      <c r="FA81" s="336"/>
      <c r="FB81" s="336">
        <f t="shared" si="16"/>
        <v>-0.99</v>
      </c>
      <c r="FC81" s="337">
        <f t="shared" si="25"/>
        <v>0.9996160194089394</v>
      </c>
      <c r="FD81" s="338" t="s">
        <v>149</v>
      </c>
      <c r="FE81" s="47" t="s">
        <v>285</v>
      </c>
      <c r="FF81" s="47"/>
      <c r="FG81" s="47" t="s">
        <v>157</v>
      </c>
      <c r="FH81" s="47" t="s">
        <v>169</v>
      </c>
      <c r="FI81" s="25">
        <v>26328</v>
      </c>
      <c r="FJ81" s="51" t="s">
        <v>1372</v>
      </c>
    </row>
    <row r="82" spans="1:166" ht="129" hidden="1" customHeight="1">
      <c r="A82" s="15">
        <f>A81+1</f>
        <v>6</v>
      </c>
      <c r="B82" s="5" t="s">
        <v>206</v>
      </c>
      <c r="C82" s="56" t="s">
        <v>898</v>
      </c>
      <c r="D82" s="17"/>
      <c r="E82" s="17"/>
      <c r="F82" s="47">
        <v>120224</v>
      </c>
      <c r="G82" s="18" t="s">
        <v>685</v>
      </c>
      <c r="H82" s="19">
        <v>5500000</v>
      </c>
      <c r="I82" s="19">
        <v>5499624.0999999996</v>
      </c>
      <c r="J82" s="18" t="s">
        <v>205</v>
      </c>
      <c r="K82" s="18" t="s">
        <v>686</v>
      </c>
      <c r="L82" s="18" t="s">
        <v>687</v>
      </c>
      <c r="M82" s="47" t="s">
        <v>688</v>
      </c>
      <c r="N82" s="18" t="s">
        <v>689</v>
      </c>
      <c r="O82" s="47">
        <v>5515550594</v>
      </c>
      <c r="P82" s="20" t="s">
        <v>713</v>
      </c>
      <c r="Q82" s="21"/>
      <c r="R82" s="22"/>
      <c r="S82" s="22"/>
      <c r="T82" s="22"/>
      <c r="U82" s="22"/>
      <c r="V82" s="48">
        <v>44729</v>
      </c>
      <c r="W82" s="48">
        <v>44733</v>
      </c>
      <c r="X82" s="23">
        <v>4741055.26</v>
      </c>
      <c r="Y82" s="23">
        <f t="shared" si="4"/>
        <v>5499624.1015999997</v>
      </c>
      <c r="Z82" s="204">
        <v>5499624.0999999996</v>
      </c>
      <c r="AA82" s="204">
        <f t="shared" si="30"/>
        <v>375.90000000037253</v>
      </c>
      <c r="AB82" s="204">
        <v>1649887.23</v>
      </c>
      <c r="AC82" s="204">
        <v>1649887.23</v>
      </c>
      <c r="AD82" s="204">
        <v>4931674.3600000003</v>
      </c>
      <c r="AE82" s="204">
        <v>1649887.23</v>
      </c>
      <c r="AF82" s="50">
        <f t="shared" si="33"/>
        <v>3281787.1300000004</v>
      </c>
      <c r="AG82" s="248">
        <v>44830</v>
      </c>
      <c r="AH82" s="204">
        <v>567891.02</v>
      </c>
      <c r="AI82" s="204">
        <v>0</v>
      </c>
      <c r="AJ82" s="204">
        <f t="shared" si="34"/>
        <v>567891.02</v>
      </c>
      <c r="AK82" s="249">
        <v>44861</v>
      </c>
      <c r="AL82" s="204"/>
      <c r="AM82" s="204"/>
      <c r="AN82" s="204">
        <f t="shared" si="26"/>
        <v>0</v>
      </c>
      <c r="AO82" s="204"/>
      <c r="AP82" s="204"/>
      <c r="AQ82" s="204"/>
      <c r="AR82" s="204">
        <f t="shared" si="32"/>
        <v>0</v>
      </c>
      <c r="AS82" s="204"/>
      <c r="AT82" s="204"/>
      <c r="AU82" s="204"/>
      <c r="AV82" s="204"/>
      <c r="AW82" s="204"/>
      <c r="AX82" s="204"/>
      <c r="AY82" s="204"/>
      <c r="AZ82" s="204"/>
      <c r="BA82" s="204"/>
      <c r="BB82" s="204"/>
      <c r="BC82" s="204"/>
      <c r="BD82" s="204"/>
      <c r="BE82" s="204"/>
      <c r="BF82" s="204"/>
      <c r="BG82" s="204"/>
      <c r="BH82" s="204"/>
      <c r="BI82" s="204"/>
      <c r="BJ82" s="204"/>
      <c r="BK82" s="204"/>
      <c r="BL82" s="204"/>
      <c r="BM82" s="204"/>
      <c r="BN82" s="204"/>
      <c r="BO82" s="204"/>
      <c r="BP82" s="204"/>
      <c r="BQ82" s="204"/>
      <c r="BR82" s="204"/>
      <c r="BS82" s="204"/>
      <c r="BT82" s="204"/>
      <c r="BU82" s="204"/>
      <c r="BV82" s="204"/>
      <c r="BW82" s="204"/>
      <c r="BX82" s="204"/>
      <c r="BY82" s="204"/>
      <c r="BZ82" s="204"/>
      <c r="CA82" s="204"/>
      <c r="CB82" s="204"/>
      <c r="CC82" s="204"/>
      <c r="CD82" s="204"/>
      <c r="CE82" s="204"/>
      <c r="CF82" s="204"/>
      <c r="CG82" s="204"/>
      <c r="CH82" s="204"/>
      <c r="CI82" s="204"/>
      <c r="CJ82" s="204"/>
      <c r="CK82" s="204"/>
      <c r="CL82" s="204"/>
      <c r="CM82" s="204"/>
      <c r="CN82" s="204"/>
      <c r="CO82" s="204"/>
      <c r="CP82" s="204"/>
      <c r="CQ82" s="204"/>
      <c r="CR82" s="204"/>
      <c r="CS82" s="204"/>
      <c r="CT82" s="204"/>
      <c r="CU82" s="204"/>
      <c r="CV82" s="204"/>
      <c r="CW82" s="204"/>
      <c r="CX82" s="204"/>
      <c r="CY82" s="204"/>
      <c r="CZ82" s="204"/>
      <c r="DA82" s="204"/>
      <c r="DB82" s="204"/>
      <c r="DC82" s="204"/>
      <c r="DD82" s="204"/>
      <c r="DE82" s="204"/>
      <c r="DF82" s="204"/>
      <c r="DG82" s="204"/>
      <c r="DH82" s="204"/>
      <c r="DI82" s="204"/>
      <c r="DJ82" s="204"/>
      <c r="DK82" s="204"/>
      <c r="DL82" s="204"/>
      <c r="DM82" s="204"/>
      <c r="DN82" s="204"/>
      <c r="DO82" s="204"/>
      <c r="DP82" s="204"/>
      <c r="DQ82" s="204"/>
      <c r="DR82" s="204"/>
      <c r="DS82" s="204"/>
      <c r="DT82" s="204"/>
      <c r="DU82" s="204"/>
      <c r="DV82" s="204"/>
      <c r="DW82" s="204"/>
      <c r="DX82" s="204"/>
      <c r="DY82" s="204"/>
      <c r="DZ82" s="204"/>
      <c r="EA82" s="204"/>
      <c r="EB82" s="204"/>
      <c r="EC82" s="204"/>
      <c r="ED82" s="204"/>
      <c r="EE82" s="204"/>
      <c r="EF82" s="204"/>
      <c r="EG82" s="204"/>
      <c r="EH82" s="250">
        <f t="shared" si="27"/>
        <v>5499565.3800000008</v>
      </c>
      <c r="EI82" s="250">
        <f t="shared" si="18"/>
        <v>1649887.23</v>
      </c>
      <c r="EJ82" s="250">
        <f t="shared" si="18"/>
        <v>3849678.1500000004</v>
      </c>
      <c r="EK82" s="204">
        <f>EH82+AC82-EI82</f>
        <v>5499565.3800000008</v>
      </c>
      <c r="EL82" s="204">
        <f>AC82-EI82</f>
        <v>0</v>
      </c>
      <c r="EM82" s="255">
        <f t="shared" si="12"/>
        <v>58.719999998807907</v>
      </c>
      <c r="EN82" s="204">
        <f t="shared" si="13"/>
        <v>1649887.2300000004</v>
      </c>
      <c r="EO82" s="204">
        <f t="shared" si="14"/>
        <v>434.61999999918044</v>
      </c>
      <c r="EP82" s="204"/>
      <c r="EQ82" s="55">
        <v>44734</v>
      </c>
      <c r="ER82" s="55">
        <v>44913</v>
      </c>
      <c r="ES82" s="18"/>
      <c r="ET82" s="18"/>
      <c r="EU82" s="19"/>
      <c r="EV82" s="18"/>
      <c r="EW82" s="18"/>
      <c r="EX82" s="47" t="s">
        <v>1190</v>
      </c>
      <c r="EY82" s="331">
        <f t="shared" si="31"/>
        <v>0.999989322906633</v>
      </c>
      <c r="EZ82" s="332">
        <v>1</v>
      </c>
      <c r="FA82" s="336"/>
      <c r="FB82" s="336">
        <f t="shared" si="16"/>
        <v>-1</v>
      </c>
      <c r="FC82" s="337">
        <f t="shared" si="25"/>
        <v>0.999989322906633</v>
      </c>
      <c r="FD82" s="338" t="s">
        <v>147</v>
      </c>
      <c r="FE82" s="47" t="s">
        <v>690</v>
      </c>
      <c r="FF82" s="47"/>
      <c r="FG82" s="47" t="s">
        <v>138</v>
      </c>
      <c r="FH82" s="47" t="s">
        <v>148</v>
      </c>
      <c r="FI82" s="25">
        <v>20000</v>
      </c>
      <c r="FJ82" s="51" t="s">
        <v>962</v>
      </c>
    </row>
    <row r="83" spans="1:166" ht="163.5" hidden="1" customHeight="1">
      <c r="A83" s="15"/>
      <c r="B83" s="292" t="s">
        <v>812</v>
      </c>
      <c r="C83" s="292" t="s">
        <v>812</v>
      </c>
      <c r="D83" s="125" t="s">
        <v>1169</v>
      </c>
      <c r="E83" s="125" t="s">
        <v>1240</v>
      </c>
      <c r="F83" s="47">
        <v>121738</v>
      </c>
      <c r="G83" s="18" t="s">
        <v>788</v>
      </c>
      <c r="H83" s="19">
        <f>3000000-4773.71</f>
        <v>2995226.29</v>
      </c>
      <c r="I83" s="19">
        <f>3000000-4773.71</f>
        <v>2995226.29</v>
      </c>
      <c r="J83" s="18" t="s">
        <v>807</v>
      </c>
      <c r="K83" s="18" t="s">
        <v>969</v>
      </c>
      <c r="L83" s="18" t="s">
        <v>970</v>
      </c>
      <c r="M83" s="47" t="s">
        <v>971</v>
      </c>
      <c r="N83" s="18" t="s">
        <v>972</v>
      </c>
      <c r="O83" s="47">
        <v>7222158165</v>
      </c>
      <c r="P83" s="20" t="s">
        <v>1023</v>
      </c>
      <c r="Q83" s="21"/>
      <c r="R83" s="22"/>
      <c r="S83" s="22"/>
      <c r="T83" s="22"/>
      <c r="U83" s="22"/>
      <c r="V83" s="48">
        <v>44812</v>
      </c>
      <c r="W83" s="48">
        <v>44816</v>
      </c>
      <c r="X83" s="23">
        <v>2582091.63</v>
      </c>
      <c r="Y83" s="23">
        <f t="shared" si="4"/>
        <v>2995226.2907999996</v>
      </c>
      <c r="Z83" s="204">
        <v>2995226.29</v>
      </c>
      <c r="AA83" s="204">
        <f t="shared" si="30"/>
        <v>0</v>
      </c>
      <c r="AB83" s="204">
        <v>898567.89</v>
      </c>
      <c r="AC83" s="204">
        <v>898567.89</v>
      </c>
      <c r="AD83" s="204">
        <v>376438.32</v>
      </c>
      <c r="AE83" s="204">
        <v>112931.5</v>
      </c>
      <c r="AF83" s="50">
        <f t="shared" si="33"/>
        <v>263506.82</v>
      </c>
      <c r="AG83" s="248">
        <v>44874</v>
      </c>
      <c r="AH83" s="204">
        <v>1198613.5900000001</v>
      </c>
      <c r="AI83" s="204">
        <v>365168.74</v>
      </c>
      <c r="AJ83" s="204">
        <f t="shared" si="34"/>
        <v>833444.85000000009</v>
      </c>
      <c r="AK83" s="248">
        <v>44902</v>
      </c>
      <c r="AL83" s="50">
        <v>659367.80000000005</v>
      </c>
      <c r="AM83" s="50">
        <v>420467.65</v>
      </c>
      <c r="AN83" s="204">
        <f t="shared" si="26"/>
        <v>238900.15000000002</v>
      </c>
      <c r="AO83" s="248">
        <v>44904</v>
      </c>
      <c r="AP83" s="204">
        <v>142988.85999999999</v>
      </c>
      <c r="AQ83" s="204">
        <v>0</v>
      </c>
      <c r="AR83" s="204">
        <f t="shared" si="32"/>
        <v>142988.85999999999</v>
      </c>
      <c r="AS83" s="253">
        <v>44923</v>
      </c>
      <c r="AT83" s="204">
        <v>0</v>
      </c>
      <c r="AU83" s="204">
        <v>0</v>
      </c>
      <c r="AV83" s="204">
        <f>AT83-AU83</f>
        <v>0</v>
      </c>
      <c r="AW83" s="204" t="s">
        <v>1343</v>
      </c>
      <c r="AX83" s="204"/>
      <c r="AY83" s="204"/>
      <c r="AZ83" s="204"/>
      <c r="BA83" s="204"/>
      <c r="BB83" s="204"/>
      <c r="BC83" s="204"/>
      <c r="BD83" s="204"/>
      <c r="BE83" s="204"/>
      <c r="BF83" s="204"/>
      <c r="BG83" s="204"/>
      <c r="BH83" s="204"/>
      <c r="BI83" s="204"/>
      <c r="BJ83" s="204"/>
      <c r="BK83" s="204"/>
      <c r="BL83" s="204"/>
      <c r="BM83" s="204"/>
      <c r="BN83" s="204"/>
      <c r="BO83" s="204"/>
      <c r="BP83" s="204"/>
      <c r="BQ83" s="204"/>
      <c r="BR83" s="204"/>
      <c r="BS83" s="204"/>
      <c r="BT83" s="204"/>
      <c r="BU83" s="204"/>
      <c r="BV83" s="204"/>
      <c r="BW83" s="204"/>
      <c r="BX83" s="204"/>
      <c r="BY83" s="204"/>
      <c r="BZ83" s="204"/>
      <c r="CA83" s="204"/>
      <c r="CB83" s="204"/>
      <c r="CC83" s="204"/>
      <c r="CD83" s="204"/>
      <c r="CE83" s="204"/>
      <c r="CF83" s="204"/>
      <c r="CG83" s="204"/>
      <c r="CH83" s="204"/>
      <c r="CI83" s="204"/>
      <c r="CJ83" s="204"/>
      <c r="CK83" s="204"/>
      <c r="CL83" s="204"/>
      <c r="CM83" s="204"/>
      <c r="CN83" s="204"/>
      <c r="CO83" s="204"/>
      <c r="CP83" s="204"/>
      <c r="CQ83" s="204"/>
      <c r="CR83" s="204"/>
      <c r="CS83" s="204"/>
      <c r="CT83" s="204"/>
      <c r="CU83" s="204"/>
      <c r="CV83" s="204"/>
      <c r="CW83" s="204"/>
      <c r="CX83" s="204"/>
      <c r="CY83" s="204"/>
      <c r="CZ83" s="204"/>
      <c r="DA83" s="204"/>
      <c r="DB83" s="204"/>
      <c r="DC83" s="204"/>
      <c r="DD83" s="204"/>
      <c r="DE83" s="204"/>
      <c r="DF83" s="204"/>
      <c r="DG83" s="204"/>
      <c r="DH83" s="204"/>
      <c r="DI83" s="204"/>
      <c r="DJ83" s="204"/>
      <c r="DK83" s="204"/>
      <c r="DL83" s="204"/>
      <c r="DM83" s="204"/>
      <c r="DN83" s="204"/>
      <c r="DO83" s="204"/>
      <c r="DP83" s="204"/>
      <c r="DQ83" s="204"/>
      <c r="DR83" s="204"/>
      <c r="DS83" s="204"/>
      <c r="DT83" s="204"/>
      <c r="DU83" s="204"/>
      <c r="DV83" s="204"/>
      <c r="DW83" s="204"/>
      <c r="DX83" s="204"/>
      <c r="DY83" s="204"/>
      <c r="DZ83" s="204"/>
      <c r="EA83" s="204"/>
      <c r="EB83" s="204"/>
      <c r="EC83" s="204"/>
      <c r="ED83" s="204"/>
      <c r="EE83" s="204"/>
      <c r="EF83" s="204"/>
      <c r="EG83" s="204"/>
      <c r="EH83" s="250">
        <f t="shared" si="27"/>
        <v>2377408.5699999998</v>
      </c>
      <c r="EI83" s="250">
        <f t="shared" si="18"/>
        <v>898567.89</v>
      </c>
      <c r="EJ83" s="250">
        <f t="shared" si="18"/>
        <v>1478840.6800000002</v>
      </c>
      <c r="EK83" s="204">
        <f t="shared" si="10"/>
        <v>2377408.5699999998</v>
      </c>
      <c r="EL83" s="204">
        <f t="shared" si="24"/>
        <v>0</v>
      </c>
      <c r="EM83" s="382">
        <f t="shared" si="12"/>
        <v>617817.7200000002</v>
      </c>
      <c r="EN83" s="204">
        <f t="shared" si="13"/>
        <v>898567.88999999966</v>
      </c>
      <c r="EO83" s="204">
        <f t="shared" si="14"/>
        <v>617817.7200000002</v>
      </c>
      <c r="EP83" s="204"/>
      <c r="EQ83" s="55">
        <v>44817</v>
      </c>
      <c r="ER83" s="55">
        <v>44906</v>
      </c>
      <c r="ES83" s="18"/>
      <c r="ET83" s="18"/>
      <c r="EU83" s="19"/>
      <c r="EV83" s="18"/>
      <c r="EW83" s="18"/>
      <c r="EX83" s="18"/>
      <c r="EY83" s="331">
        <f t="shared" si="31"/>
        <v>0.79373253965395707</v>
      </c>
      <c r="EZ83" s="332">
        <v>1</v>
      </c>
      <c r="FA83" s="336"/>
      <c r="FB83" s="336">
        <f t="shared" si="16"/>
        <v>-1</v>
      </c>
      <c r="FC83" s="337">
        <f t="shared" si="25"/>
        <v>0.79373253965395707</v>
      </c>
      <c r="FD83" s="338" t="s">
        <v>147</v>
      </c>
      <c r="FE83" s="47" t="s">
        <v>808</v>
      </c>
      <c r="FF83" s="47"/>
      <c r="FG83" s="47" t="s">
        <v>161</v>
      </c>
      <c r="FH83" s="47" t="s">
        <v>146</v>
      </c>
      <c r="FI83" s="49">
        <v>354</v>
      </c>
      <c r="FJ83" s="51" t="s">
        <v>1194</v>
      </c>
    </row>
    <row r="84" spans="1:166" ht="163.5" hidden="1" customHeight="1">
      <c r="A84" s="15"/>
      <c r="B84" s="292" t="s">
        <v>812</v>
      </c>
      <c r="C84" s="292" t="s">
        <v>812</v>
      </c>
      <c r="D84" s="125" t="s">
        <v>1169</v>
      </c>
      <c r="E84" s="125" t="s">
        <v>1239</v>
      </c>
      <c r="F84" s="47">
        <v>121739</v>
      </c>
      <c r="G84" s="18" t="s">
        <v>789</v>
      </c>
      <c r="H84" s="19">
        <f>4000000-351752.21</f>
        <v>3648247.79</v>
      </c>
      <c r="I84" s="19">
        <f>4000000-351752.21</f>
        <v>3648247.79</v>
      </c>
      <c r="J84" s="18" t="s">
        <v>807</v>
      </c>
      <c r="K84" s="18" t="s">
        <v>185</v>
      </c>
      <c r="L84" s="18" t="s">
        <v>697</v>
      </c>
      <c r="M84" s="47" t="s">
        <v>186</v>
      </c>
      <c r="N84" s="18" t="s">
        <v>698</v>
      </c>
      <c r="O84" s="47" t="s">
        <v>1056</v>
      </c>
      <c r="P84" s="20" t="s">
        <v>1096</v>
      </c>
      <c r="Q84" s="21"/>
      <c r="R84" s="22"/>
      <c r="S84" s="22"/>
      <c r="T84" s="22"/>
      <c r="U84" s="22"/>
      <c r="V84" s="48"/>
      <c r="W84" s="48">
        <v>44861</v>
      </c>
      <c r="X84" s="23">
        <v>3145041.2</v>
      </c>
      <c r="Y84" s="23">
        <f t="shared" si="4"/>
        <v>3648247.7919999999</v>
      </c>
      <c r="Z84" s="204">
        <v>3648247.79</v>
      </c>
      <c r="AA84" s="204">
        <f t="shared" si="30"/>
        <v>0</v>
      </c>
      <c r="AB84" s="204">
        <v>1094474.3400000001</v>
      </c>
      <c r="AC84" s="204">
        <v>1094474.3400000001</v>
      </c>
      <c r="AD84" s="204">
        <v>3450973.87</v>
      </c>
      <c r="AE84" s="204">
        <v>1094474.3400000001</v>
      </c>
      <c r="AF84" s="50">
        <f t="shared" si="33"/>
        <v>2356499.5300000003</v>
      </c>
      <c r="AG84" s="248">
        <v>44924</v>
      </c>
      <c r="AH84" s="204"/>
      <c r="AI84" s="204"/>
      <c r="AJ84" s="204">
        <f t="shared" si="34"/>
        <v>0</v>
      </c>
      <c r="AK84" s="249"/>
      <c r="AL84" s="204"/>
      <c r="AM84" s="204"/>
      <c r="AN84" s="204">
        <f t="shared" si="26"/>
        <v>0</v>
      </c>
      <c r="AO84" s="204"/>
      <c r="AP84" s="204"/>
      <c r="AQ84" s="204"/>
      <c r="AR84" s="204">
        <f t="shared" si="32"/>
        <v>0</v>
      </c>
      <c r="AS84" s="204"/>
      <c r="AT84" s="204"/>
      <c r="AU84" s="204"/>
      <c r="AV84" s="204"/>
      <c r="AW84" s="204"/>
      <c r="AX84" s="204"/>
      <c r="AY84" s="204"/>
      <c r="AZ84" s="204"/>
      <c r="BA84" s="204"/>
      <c r="BB84" s="204"/>
      <c r="BC84" s="204"/>
      <c r="BD84" s="204"/>
      <c r="BE84" s="204"/>
      <c r="BF84" s="204"/>
      <c r="BG84" s="204"/>
      <c r="BH84" s="204"/>
      <c r="BI84" s="204"/>
      <c r="BJ84" s="204"/>
      <c r="BK84" s="204"/>
      <c r="BL84" s="204"/>
      <c r="BM84" s="204"/>
      <c r="BN84" s="204"/>
      <c r="BO84" s="204"/>
      <c r="BP84" s="204"/>
      <c r="BQ84" s="204"/>
      <c r="BR84" s="204"/>
      <c r="BS84" s="204"/>
      <c r="BT84" s="204"/>
      <c r="BU84" s="204"/>
      <c r="BV84" s="204"/>
      <c r="BW84" s="204"/>
      <c r="BX84" s="204"/>
      <c r="BY84" s="204"/>
      <c r="BZ84" s="204"/>
      <c r="CA84" s="204"/>
      <c r="CB84" s="204"/>
      <c r="CC84" s="204"/>
      <c r="CD84" s="204"/>
      <c r="CE84" s="204"/>
      <c r="CF84" s="204"/>
      <c r="CG84" s="204"/>
      <c r="CH84" s="204"/>
      <c r="CI84" s="204"/>
      <c r="CJ84" s="204"/>
      <c r="CK84" s="204"/>
      <c r="CL84" s="204"/>
      <c r="CM84" s="204"/>
      <c r="CN84" s="204"/>
      <c r="CO84" s="204"/>
      <c r="CP84" s="204"/>
      <c r="CQ84" s="204"/>
      <c r="CR84" s="204"/>
      <c r="CS84" s="204"/>
      <c r="CT84" s="204"/>
      <c r="CU84" s="204"/>
      <c r="CV84" s="204"/>
      <c r="CW84" s="204"/>
      <c r="CX84" s="204"/>
      <c r="CY84" s="204"/>
      <c r="CZ84" s="204"/>
      <c r="DA84" s="204"/>
      <c r="DB84" s="204"/>
      <c r="DC84" s="204"/>
      <c r="DD84" s="204"/>
      <c r="DE84" s="204"/>
      <c r="DF84" s="204"/>
      <c r="DG84" s="204"/>
      <c r="DH84" s="204"/>
      <c r="DI84" s="204"/>
      <c r="DJ84" s="204"/>
      <c r="DK84" s="204"/>
      <c r="DL84" s="204"/>
      <c r="DM84" s="204"/>
      <c r="DN84" s="204"/>
      <c r="DO84" s="204"/>
      <c r="DP84" s="204"/>
      <c r="DQ84" s="204"/>
      <c r="DR84" s="204"/>
      <c r="DS84" s="204"/>
      <c r="DT84" s="204"/>
      <c r="DU84" s="204"/>
      <c r="DV84" s="204"/>
      <c r="DW84" s="204"/>
      <c r="DX84" s="204"/>
      <c r="DY84" s="204"/>
      <c r="DZ84" s="204"/>
      <c r="EA84" s="204"/>
      <c r="EB84" s="204"/>
      <c r="EC84" s="204"/>
      <c r="ED84" s="204"/>
      <c r="EE84" s="204"/>
      <c r="EF84" s="204"/>
      <c r="EG84" s="204"/>
      <c r="EH84" s="250">
        <f t="shared" si="27"/>
        <v>3450973.87</v>
      </c>
      <c r="EI84" s="250">
        <f t="shared" si="18"/>
        <v>1094474.3400000001</v>
      </c>
      <c r="EJ84" s="250">
        <f t="shared" si="18"/>
        <v>2356499.5300000003</v>
      </c>
      <c r="EK84" s="204">
        <f t="shared" si="10"/>
        <v>3450973.87</v>
      </c>
      <c r="EL84" s="204">
        <f t="shared" si="24"/>
        <v>0</v>
      </c>
      <c r="EM84" s="382">
        <f t="shared" si="12"/>
        <v>197273.91999999993</v>
      </c>
      <c r="EN84" s="204">
        <f t="shared" si="13"/>
        <v>1094474.3399999999</v>
      </c>
      <c r="EO84" s="204">
        <f t="shared" si="14"/>
        <v>197273.91999999993</v>
      </c>
      <c r="EP84" s="204"/>
      <c r="EQ84" s="55">
        <v>44862</v>
      </c>
      <c r="ER84" s="55">
        <v>44924</v>
      </c>
      <c r="ES84" s="18"/>
      <c r="ET84" s="18"/>
      <c r="EU84" s="19"/>
      <c r="EV84" s="18"/>
      <c r="EW84" s="18"/>
      <c r="EX84" s="18"/>
      <c r="EY84" s="331">
        <f t="shared" si="31"/>
        <v>0.94592639224212349</v>
      </c>
      <c r="EZ84" s="425">
        <v>1</v>
      </c>
      <c r="FA84" s="336"/>
      <c r="FB84" s="336">
        <f t="shared" si="16"/>
        <v>-1</v>
      </c>
      <c r="FC84" s="337">
        <f t="shared" si="25"/>
        <v>0.94592639224212349</v>
      </c>
      <c r="FD84" s="338" t="s">
        <v>147</v>
      </c>
      <c r="FE84" s="47" t="s">
        <v>808</v>
      </c>
      <c r="FF84" s="47"/>
      <c r="FG84" s="47" t="s">
        <v>161</v>
      </c>
      <c r="FH84" s="47" t="s">
        <v>146</v>
      </c>
      <c r="FI84" s="49">
        <v>354</v>
      </c>
      <c r="FJ84" s="51" t="s">
        <v>1194</v>
      </c>
    </row>
    <row r="85" spans="1:166" ht="236.25" hidden="1" customHeight="1">
      <c r="A85" s="15"/>
      <c r="B85" s="292" t="s">
        <v>812</v>
      </c>
      <c r="C85" s="292" t="s">
        <v>812</v>
      </c>
      <c r="D85" s="125" t="s">
        <v>1169</v>
      </c>
      <c r="E85" s="125" t="s">
        <v>1241</v>
      </c>
      <c r="F85" s="47">
        <v>121740</v>
      </c>
      <c r="G85" s="18" t="s">
        <v>790</v>
      </c>
      <c r="H85" s="19">
        <f>20500000-7004045.61</f>
        <v>13495954.390000001</v>
      </c>
      <c r="I85" s="19">
        <f>20500000-7004045.61</f>
        <v>13495954.390000001</v>
      </c>
      <c r="J85" s="18" t="s">
        <v>807</v>
      </c>
      <c r="K85" s="18" t="s">
        <v>908</v>
      </c>
      <c r="L85" s="18" t="s">
        <v>911</v>
      </c>
      <c r="M85" s="47" t="s">
        <v>306</v>
      </c>
      <c r="N85" s="18" t="s">
        <v>912</v>
      </c>
      <c r="O85" s="47">
        <v>7225446769</v>
      </c>
      <c r="P85" s="20" t="s">
        <v>952</v>
      </c>
      <c r="Q85" s="21"/>
      <c r="R85" s="22"/>
      <c r="S85" s="22"/>
      <c r="T85" s="22"/>
      <c r="U85" s="22"/>
      <c r="V85" s="48">
        <v>44802</v>
      </c>
      <c r="W85" s="48">
        <v>44804</v>
      </c>
      <c r="X85" s="23">
        <v>11634443.439999999</v>
      </c>
      <c r="Y85" s="23">
        <f t="shared" si="4"/>
        <v>13495954.390399998</v>
      </c>
      <c r="Z85" s="204">
        <v>13495954.390000001</v>
      </c>
      <c r="AA85" s="204">
        <f t="shared" si="30"/>
        <v>0</v>
      </c>
      <c r="AB85" s="204">
        <v>4048786.32</v>
      </c>
      <c r="AC85" s="204">
        <v>4048786.32</v>
      </c>
      <c r="AD85" s="204">
        <v>1274358.75</v>
      </c>
      <c r="AE85" s="204">
        <v>382307.63</v>
      </c>
      <c r="AF85" s="50">
        <f t="shared" si="33"/>
        <v>892051.12</v>
      </c>
      <c r="AG85" s="248">
        <v>44865</v>
      </c>
      <c r="AH85" s="204">
        <v>3243174.98</v>
      </c>
      <c r="AI85" s="204">
        <v>972952.49</v>
      </c>
      <c r="AJ85" s="204">
        <f t="shared" si="34"/>
        <v>2270222.4900000002</v>
      </c>
      <c r="AK85" s="248">
        <v>44893</v>
      </c>
      <c r="AL85" s="204">
        <v>3917081.81</v>
      </c>
      <c r="AM85" s="204">
        <v>1566832.72</v>
      </c>
      <c r="AN85" s="204">
        <f t="shared" si="26"/>
        <v>2350249.09</v>
      </c>
      <c r="AO85" s="248">
        <v>44904</v>
      </c>
      <c r="AP85" s="204">
        <v>4914009.2300000004</v>
      </c>
      <c r="AQ85" s="204">
        <v>1126693.48</v>
      </c>
      <c r="AR85" s="204">
        <f t="shared" si="32"/>
        <v>3787315.7500000005</v>
      </c>
      <c r="AS85" s="248">
        <v>44917</v>
      </c>
      <c r="AT85" s="204">
        <v>1224.55</v>
      </c>
      <c r="AU85" s="204">
        <v>0</v>
      </c>
      <c r="AV85" s="204">
        <f>AT85-AU85</f>
        <v>1224.55</v>
      </c>
      <c r="AW85" s="204" t="s">
        <v>1333</v>
      </c>
      <c r="AX85" s="204"/>
      <c r="AY85" s="204"/>
      <c r="AZ85" s="204"/>
      <c r="BA85" s="204"/>
      <c r="BB85" s="204"/>
      <c r="BC85" s="204"/>
      <c r="BD85" s="204"/>
      <c r="BE85" s="204"/>
      <c r="BF85" s="204"/>
      <c r="BG85" s="204"/>
      <c r="BH85" s="204"/>
      <c r="BI85" s="204"/>
      <c r="BJ85" s="204"/>
      <c r="BK85" s="204"/>
      <c r="BL85" s="204"/>
      <c r="BM85" s="204"/>
      <c r="BN85" s="204"/>
      <c r="BO85" s="204"/>
      <c r="BP85" s="204"/>
      <c r="BQ85" s="204"/>
      <c r="BR85" s="204"/>
      <c r="BS85" s="204"/>
      <c r="BT85" s="204"/>
      <c r="BU85" s="204"/>
      <c r="BV85" s="204"/>
      <c r="BW85" s="204"/>
      <c r="BX85" s="204"/>
      <c r="BY85" s="204"/>
      <c r="BZ85" s="204"/>
      <c r="CA85" s="204"/>
      <c r="CB85" s="204"/>
      <c r="CC85" s="204"/>
      <c r="CD85" s="204"/>
      <c r="CE85" s="204"/>
      <c r="CF85" s="204"/>
      <c r="CG85" s="204"/>
      <c r="CH85" s="204"/>
      <c r="CI85" s="204"/>
      <c r="CJ85" s="204"/>
      <c r="CK85" s="204"/>
      <c r="CL85" s="204"/>
      <c r="CM85" s="204"/>
      <c r="CN85" s="204"/>
      <c r="CO85" s="204"/>
      <c r="CP85" s="204"/>
      <c r="CQ85" s="204"/>
      <c r="CR85" s="204"/>
      <c r="CS85" s="204"/>
      <c r="CT85" s="204"/>
      <c r="CU85" s="204"/>
      <c r="CV85" s="204"/>
      <c r="CW85" s="204"/>
      <c r="CX85" s="204"/>
      <c r="CY85" s="204"/>
      <c r="CZ85" s="204"/>
      <c r="DA85" s="204"/>
      <c r="DB85" s="204"/>
      <c r="DC85" s="204"/>
      <c r="DD85" s="204"/>
      <c r="DE85" s="204"/>
      <c r="DF85" s="204"/>
      <c r="DG85" s="204"/>
      <c r="DH85" s="204"/>
      <c r="DI85" s="204"/>
      <c r="DJ85" s="204"/>
      <c r="DK85" s="204"/>
      <c r="DL85" s="204"/>
      <c r="DM85" s="204"/>
      <c r="DN85" s="204"/>
      <c r="DO85" s="204"/>
      <c r="DP85" s="204"/>
      <c r="DQ85" s="204"/>
      <c r="DR85" s="204"/>
      <c r="DS85" s="204"/>
      <c r="DT85" s="204"/>
      <c r="DU85" s="204"/>
      <c r="DV85" s="204"/>
      <c r="DW85" s="204"/>
      <c r="DX85" s="204"/>
      <c r="DY85" s="204"/>
      <c r="DZ85" s="204"/>
      <c r="EA85" s="204"/>
      <c r="EB85" s="204"/>
      <c r="EC85" s="204"/>
      <c r="ED85" s="204"/>
      <c r="EE85" s="204"/>
      <c r="EF85" s="204"/>
      <c r="EG85" s="204"/>
      <c r="EH85" s="250">
        <f t="shared" si="27"/>
        <v>13349849.320000002</v>
      </c>
      <c r="EI85" s="250">
        <f t="shared" si="18"/>
        <v>4048786.32</v>
      </c>
      <c r="EJ85" s="250">
        <f t="shared" si="18"/>
        <v>9301063.0000000019</v>
      </c>
      <c r="EK85" s="204">
        <f t="shared" si="10"/>
        <v>13349849.32</v>
      </c>
      <c r="EL85" s="204">
        <f t="shared" si="24"/>
        <v>0</v>
      </c>
      <c r="EM85" s="382">
        <f t="shared" si="12"/>
        <v>146105.06999999844</v>
      </c>
      <c r="EN85" s="204">
        <f t="shared" si="13"/>
        <v>4048786.3200000003</v>
      </c>
      <c r="EO85" s="204">
        <f t="shared" si="14"/>
        <v>146105.06999999844</v>
      </c>
      <c r="EP85" s="204"/>
      <c r="EQ85" s="55">
        <v>44805</v>
      </c>
      <c r="ER85" s="55">
        <v>44926</v>
      </c>
      <c r="ES85" s="18"/>
      <c r="ET85" s="18"/>
      <c r="EU85" s="19"/>
      <c r="EV85" s="18"/>
      <c r="EW85" s="18"/>
      <c r="EX85" s="47" t="s">
        <v>1349</v>
      </c>
      <c r="EY85" s="331">
        <f t="shared" si="31"/>
        <v>0.98917415799002273</v>
      </c>
      <c r="EZ85" s="331">
        <v>1</v>
      </c>
      <c r="FA85" s="336"/>
      <c r="FB85" s="336">
        <f t="shared" si="16"/>
        <v>-1</v>
      </c>
      <c r="FC85" s="337">
        <f t="shared" si="25"/>
        <v>0.98917415799002262</v>
      </c>
      <c r="FD85" s="338" t="s">
        <v>147</v>
      </c>
      <c r="FE85" s="47" t="s">
        <v>192</v>
      </c>
      <c r="FF85" s="47"/>
      <c r="FG85" s="47" t="s">
        <v>154</v>
      </c>
      <c r="FH85" s="47" t="s">
        <v>146</v>
      </c>
      <c r="FI85" s="25">
        <v>4846</v>
      </c>
      <c r="FJ85" s="51" t="s">
        <v>1336</v>
      </c>
    </row>
    <row r="86" spans="1:166" ht="163.5" hidden="1" customHeight="1">
      <c r="A86" s="15"/>
      <c r="B86" s="292" t="s">
        <v>812</v>
      </c>
      <c r="C86" s="292" t="s">
        <v>812</v>
      </c>
      <c r="D86" s="125" t="s">
        <v>1107</v>
      </c>
      <c r="E86" s="125"/>
      <c r="F86" s="47">
        <v>121741</v>
      </c>
      <c r="G86" s="18" t="s">
        <v>791</v>
      </c>
      <c r="H86" s="19">
        <f>1500000-1500000</f>
        <v>0</v>
      </c>
      <c r="I86" s="19">
        <f>1500000-1500000</f>
        <v>0</v>
      </c>
      <c r="J86" s="18" t="s">
        <v>807</v>
      </c>
      <c r="K86" s="18"/>
      <c r="L86" s="18"/>
      <c r="M86" s="47"/>
      <c r="N86" s="18"/>
      <c r="O86" s="47"/>
      <c r="P86" s="20"/>
      <c r="Q86" s="21"/>
      <c r="R86" s="22"/>
      <c r="S86" s="22"/>
      <c r="T86" s="22"/>
      <c r="U86" s="22"/>
      <c r="V86" s="48"/>
      <c r="W86" s="48"/>
      <c r="X86" s="23"/>
      <c r="Y86" s="23">
        <f t="shared" si="4"/>
        <v>0</v>
      </c>
      <c r="Z86" s="204"/>
      <c r="AA86" s="204">
        <f t="shared" si="30"/>
        <v>0</v>
      </c>
      <c r="AB86" s="204"/>
      <c r="AC86" s="204"/>
      <c r="AD86" s="204"/>
      <c r="AE86" s="204"/>
      <c r="AF86" s="50">
        <f t="shared" si="33"/>
        <v>0</v>
      </c>
      <c r="AG86" s="249"/>
      <c r="AH86" s="204"/>
      <c r="AI86" s="204"/>
      <c r="AJ86" s="204">
        <f t="shared" si="34"/>
        <v>0</v>
      </c>
      <c r="AK86" s="249"/>
      <c r="AL86" s="204"/>
      <c r="AM86" s="204"/>
      <c r="AN86" s="204">
        <f t="shared" si="26"/>
        <v>0</v>
      </c>
      <c r="AO86" s="204"/>
      <c r="AP86" s="204"/>
      <c r="AQ86" s="204"/>
      <c r="AR86" s="204">
        <f t="shared" si="32"/>
        <v>0</v>
      </c>
      <c r="AS86" s="204"/>
      <c r="AT86" s="204"/>
      <c r="AU86" s="204"/>
      <c r="AV86" s="204"/>
      <c r="AW86" s="204"/>
      <c r="AX86" s="204"/>
      <c r="AY86" s="204"/>
      <c r="AZ86" s="204"/>
      <c r="BA86" s="204"/>
      <c r="BB86" s="204"/>
      <c r="BC86" s="204"/>
      <c r="BD86" s="204"/>
      <c r="BE86" s="204"/>
      <c r="BF86" s="204"/>
      <c r="BG86" s="204"/>
      <c r="BH86" s="204"/>
      <c r="BI86" s="204"/>
      <c r="BJ86" s="204"/>
      <c r="BK86" s="204"/>
      <c r="BL86" s="204"/>
      <c r="BM86" s="204"/>
      <c r="BN86" s="204"/>
      <c r="BO86" s="204"/>
      <c r="BP86" s="204"/>
      <c r="BQ86" s="204"/>
      <c r="BR86" s="204"/>
      <c r="BS86" s="204"/>
      <c r="BT86" s="204"/>
      <c r="BU86" s="204"/>
      <c r="BV86" s="204"/>
      <c r="BW86" s="204"/>
      <c r="BX86" s="204"/>
      <c r="BY86" s="204"/>
      <c r="BZ86" s="204"/>
      <c r="CA86" s="204"/>
      <c r="CB86" s="204"/>
      <c r="CC86" s="204"/>
      <c r="CD86" s="204"/>
      <c r="CE86" s="204"/>
      <c r="CF86" s="204"/>
      <c r="CG86" s="204"/>
      <c r="CH86" s="204"/>
      <c r="CI86" s="204"/>
      <c r="CJ86" s="204"/>
      <c r="CK86" s="204"/>
      <c r="CL86" s="204"/>
      <c r="CM86" s="204"/>
      <c r="CN86" s="204"/>
      <c r="CO86" s="204"/>
      <c r="CP86" s="204"/>
      <c r="CQ86" s="204"/>
      <c r="CR86" s="204"/>
      <c r="CS86" s="204"/>
      <c r="CT86" s="204"/>
      <c r="CU86" s="204"/>
      <c r="CV86" s="204"/>
      <c r="CW86" s="204"/>
      <c r="CX86" s="204"/>
      <c r="CY86" s="204"/>
      <c r="CZ86" s="204"/>
      <c r="DA86" s="204"/>
      <c r="DB86" s="204"/>
      <c r="DC86" s="204"/>
      <c r="DD86" s="204"/>
      <c r="DE86" s="204"/>
      <c r="DF86" s="204"/>
      <c r="DG86" s="204"/>
      <c r="DH86" s="204"/>
      <c r="DI86" s="204"/>
      <c r="DJ86" s="204"/>
      <c r="DK86" s="204"/>
      <c r="DL86" s="204"/>
      <c r="DM86" s="204"/>
      <c r="DN86" s="204"/>
      <c r="DO86" s="204"/>
      <c r="DP86" s="204"/>
      <c r="DQ86" s="204"/>
      <c r="DR86" s="204"/>
      <c r="DS86" s="204"/>
      <c r="DT86" s="204"/>
      <c r="DU86" s="204"/>
      <c r="DV86" s="204"/>
      <c r="DW86" s="204"/>
      <c r="DX86" s="204"/>
      <c r="DY86" s="204"/>
      <c r="DZ86" s="204"/>
      <c r="EA86" s="204"/>
      <c r="EB86" s="204"/>
      <c r="EC86" s="204"/>
      <c r="ED86" s="204"/>
      <c r="EE86" s="204"/>
      <c r="EF86" s="204"/>
      <c r="EG86" s="204"/>
      <c r="EH86" s="250">
        <f t="shared" si="27"/>
        <v>0</v>
      </c>
      <c r="EI86" s="250">
        <f t="shared" si="18"/>
        <v>0</v>
      </c>
      <c r="EJ86" s="250">
        <f t="shared" si="18"/>
        <v>0</v>
      </c>
      <c r="EK86" s="204">
        <f t="shared" si="10"/>
        <v>0</v>
      </c>
      <c r="EL86" s="204">
        <f t="shared" si="24"/>
        <v>0</v>
      </c>
      <c r="EM86" s="382">
        <f t="shared" si="12"/>
        <v>0</v>
      </c>
      <c r="EN86" s="204">
        <f t="shared" si="13"/>
        <v>0</v>
      </c>
      <c r="EO86" s="204">
        <f t="shared" si="14"/>
        <v>0</v>
      </c>
      <c r="EP86" s="204"/>
      <c r="EQ86" s="55"/>
      <c r="ER86" s="55"/>
      <c r="ES86" s="18"/>
      <c r="ET86" s="18"/>
      <c r="EU86" s="19"/>
      <c r="EV86" s="18"/>
      <c r="EW86" s="18"/>
      <c r="EX86" s="18"/>
      <c r="EY86" s="331" t="e">
        <f t="shared" si="31"/>
        <v>#DIV/0!</v>
      </c>
      <c r="EZ86" s="331"/>
      <c r="FA86" s="336"/>
      <c r="FB86" s="336">
        <f t="shared" si="16"/>
        <v>0</v>
      </c>
      <c r="FC86" s="337" t="e">
        <f t="shared" si="25"/>
        <v>#DIV/0!</v>
      </c>
      <c r="FD86" s="338" t="s">
        <v>72</v>
      </c>
      <c r="FE86" s="47" t="s">
        <v>192</v>
      </c>
      <c r="FF86" s="47"/>
      <c r="FG86" s="47" t="s">
        <v>154</v>
      </c>
      <c r="FH86" s="47" t="s">
        <v>169</v>
      </c>
      <c r="FI86" s="49"/>
      <c r="FJ86" s="24"/>
    </row>
    <row r="87" spans="1:166" ht="163.5" hidden="1" customHeight="1">
      <c r="A87" s="15"/>
      <c r="B87" s="292" t="s">
        <v>812</v>
      </c>
      <c r="C87" s="292" t="s">
        <v>812</v>
      </c>
      <c r="D87" s="125" t="s">
        <v>1169</v>
      </c>
      <c r="E87" s="125" t="s">
        <v>1243</v>
      </c>
      <c r="F87" s="47">
        <v>121742</v>
      </c>
      <c r="G87" s="18" t="s">
        <v>792</v>
      </c>
      <c r="H87" s="19">
        <f>15000000-4504783.05</f>
        <v>10495216.949999999</v>
      </c>
      <c r="I87" s="19">
        <f>15000000-4504783.05</f>
        <v>10495216.949999999</v>
      </c>
      <c r="J87" s="18" t="s">
        <v>807</v>
      </c>
      <c r="K87" s="18" t="s">
        <v>155</v>
      </c>
      <c r="L87" s="18" t="s">
        <v>964</v>
      </c>
      <c r="M87" s="47" t="s">
        <v>156</v>
      </c>
      <c r="N87" s="18" t="s">
        <v>963</v>
      </c>
      <c r="O87" s="47">
        <v>5558540753</v>
      </c>
      <c r="P87" s="207" t="s">
        <v>1179</v>
      </c>
      <c r="Q87" s="21"/>
      <c r="R87" s="22"/>
      <c r="S87" s="22"/>
      <c r="T87" s="22"/>
      <c r="U87" s="22"/>
      <c r="V87" s="48"/>
      <c r="W87" s="48">
        <v>44818</v>
      </c>
      <c r="X87" s="23">
        <v>9047600.8200000003</v>
      </c>
      <c r="Y87" s="23">
        <f t="shared" si="4"/>
        <v>10495216.951199999</v>
      </c>
      <c r="Z87" s="204">
        <v>10495216.949999999</v>
      </c>
      <c r="AA87" s="204">
        <f t="shared" si="30"/>
        <v>0</v>
      </c>
      <c r="AB87" s="204">
        <v>3148565.09</v>
      </c>
      <c r="AC87" s="204">
        <v>3148565.09</v>
      </c>
      <c r="AD87" s="204">
        <v>1435929.61</v>
      </c>
      <c r="AE87" s="204">
        <v>430778.88</v>
      </c>
      <c r="AF87" s="50">
        <f t="shared" si="33"/>
        <v>1005150.7300000001</v>
      </c>
      <c r="AG87" s="248">
        <v>44902</v>
      </c>
      <c r="AH87" s="204">
        <v>887218.76</v>
      </c>
      <c r="AI87" s="204">
        <v>266165.63</v>
      </c>
      <c r="AJ87" s="204">
        <f t="shared" si="34"/>
        <v>621053.13</v>
      </c>
      <c r="AK87" s="248">
        <v>44902</v>
      </c>
      <c r="AL87" s="204">
        <v>1241604.1399999999</v>
      </c>
      <c r="AM87" s="204">
        <v>1241604.1399999999</v>
      </c>
      <c r="AN87" s="204">
        <f t="shared" si="26"/>
        <v>0</v>
      </c>
      <c r="AO87" s="248">
        <v>44917</v>
      </c>
      <c r="AP87" s="204">
        <v>1298552.0900000001</v>
      </c>
      <c r="AQ87" s="204">
        <v>1252830.3799999999</v>
      </c>
      <c r="AR87" s="204">
        <f t="shared" si="32"/>
        <v>45721.710000000196</v>
      </c>
      <c r="AS87" s="204" t="s">
        <v>305</v>
      </c>
      <c r="AT87" s="204"/>
      <c r="AU87" s="204"/>
      <c r="AV87" s="204"/>
      <c r="AW87" s="204"/>
      <c r="AX87" s="204"/>
      <c r="AY87" s="204"/>
      <c r="AZ87" s="204"/>
      <c r="BA87" s="204"/>
      <c r="BB87" s="204"/>
      <c r="BC87" s="204"/>
      <c r="BD87" s="204"/>
      <c r="BE87" s="204"/>
      <c r="BF87" s="204"/>
      <c r="BG87" s="204"/>
      <c r="BH87" s="204"/>
      <c r="BI87" s="204"/>
      <c r="BJ87" s="204"/>
      <c r="BK87" s="204"/>
      <c r="BL87" s="204"/>
      <c r="BM87" s="204"/>
      <c r="BN87" s="204"/>
      <c r="BO87" s="204"/>
      <c r="BP87" s="204"/>
      <c r="BQ87" s="204"/>
      <c r="BR87" s="204"/>
      <c r="BS87" s="204"/>
      <c r="BT87" s="204"/>
      <c r="BU87" s="204"/>
      <c r="BV87" s="204"/>
      <c r="BW87" s="204"/>
      <c r="BX87" s="204"/>
      <c r="BY87" s="204"/>
      <c r="BZ87" s="204"/>
      <c r="CA87" s="204"/>
      <c r="CB87" s="204"/>
      <c r="CC87" s="204"/>
      <c r="CD87" s="204"/>
      <c r="CE87" s="204"/>
      <c r="CF87" s="204"/>
      <c r="CG87" s="204"/>
      <c r="CH87" s="204"/>
      <c r="CI87" s="204"/>
      <c r="CJ87" s="204"/>
      <c r="CK87" s="204"/>
      <c r="CL87" s="204"/>
      <c r="CM87" s="204"/>
      <c r="CN87" s="204"/>
      <c r="CO87" s="204"/>
      <c r="CP87" s="204"/>
      <c r="CQ87" s="204"/>
      <c r="CR87" s="204"/>
      <c r="CS87" s="204"/>
      <c r="CT87" s="204"/>
      <c r="CU87" s="204"/>
      <c r="CV87" s="204"/>
      <c r="CW87" s="204"/>
      <c r="CX87" s="204"/>
      <c r="CY87" s="204"/>
      <c r="CZ87" s="204"/>
      <c r="DA87" s="204"/>
      <c r="DB87" s="204"/>
      <c r="DC87" s="204"/>
      <c r="DD87" s="204"/>
      <c r="DE87" s="204"/>
      <c r="DF87" s="204"/>
      <c r="DG87" s="204"/>
      <c r="DH87" s="204"/>
      <c r="DI87" s="204"/>
      <c r="DJ87" s="204"/>
      <c r="DK87" s="204"/>
      <c r="DL87" s="204"/>
      <c r="DM87" s="204"/>
      <c r="DN87" s="204"/>
      <c r="DO87" s="204"/>
      <c r="DP87" s="204"/>
      <c r="DQ87" s="204"/>
      <c r="DR87" s="204"/>
      <c r="DS87" s="204"/>
      <c r="DT87" s="204"/>
      <c r="DU87" s="204"/>
      <c r="DV87" s="204"/>
      <c r="DW87" s="204"/>
      <c r="DX87" s="204"/>
      <c r="DY87" s="204"/>
      <c r="DZ87" s="204"/>
      <c r="EA87" s="204"/>
      <c r="EB87" s="204"/>
      <c r="EC87" s="204"/>
      <c r="ED87" s="204"/>
      <c r="EE87" s="204"/>
      <c r="EF87" s="204"/>
      <c r="EG87" s="204"/>
      <c r="EH87" s="250">
        <f t="shared" si="27"/>
        <v>4863304.5999999996</v>
      </c>
      <c r="EI87" s="250">
        <f t="shared" si="18"/>
        <v>3191379.03</v>
      </c>
      <c r="EJ87" s="250">
        <f t="shared" si="18"/>
        <v>1671925.5700000003</v>
      </c>
      <c r="EK87" s="204">
        <f t="shared" si="10"/>
        <v>4820490.66</v>
      </c>
      <c r="EL87" s="204">
        <f t="shared" si="24"/>
        <v>-42813.939999999944</v>
      </c>
      <c r="EM87" s="382">
        <f t="shared" si="12"/>
        <v>5631912.3499999996</v>
      </c>
      <c r="EN87" s="204">
        <f t="shared" si="13"/>
        <v>3191379.0299999993</v>
      </c>
      <c r="EO87" s="204">
        <f t="shared" si="14"/>
        <v>5631912.3499999996</v>
      </c>
      <c r="EP87" s="204"/>
      <c r="EQ87" s="55">
        <v>44819</v>
      </c>
      <c r="ER87" s="55">
        <v>44926</v>
      </c>
      <c r="ES87" s="18"/>
      <c r="ET87" s="18"/>
      <c r="EU87" s="19"/>
      <c r="EV87" s="55">
        <v>44923</v>
      </c>
      <c r="EW87" s="18"/>
      <c r="EX87" s="18"/>
      <c r="EY87" s="331">
        <f t="shared" si="31"/>
        <v>0.4633829508402873</v>
      </c>
      <c r="EZ87" s="349">
        <v>0.35</v>
      </c>
      <c r="FA87" s="336"/>
      <c r="FB87" s="336"/>
      <c r="FC87" s="337">
        <f t="shared" si="25"/>
        <v>0.45930357447256015</v>
      </c>
      <c r="FD87" s="338" t="s">
        <v>307</v>
      </c>
      <c r="FE87" s="47" t="s">
        <v>809</v>
      </c>
      <c r="FF87" s="47"/>
      <c r="FG87" s="47" t="s">
        <v>161</v>
      </c>
      <c r="FH87" s="47" t="s">
        <v>146</v>
      </c>
      <c r="FI87" s="49">
        <v>5500</v>
      </c>
      <c r="FJ87" s="51" t="s">
        <v>1329</v>
      </c>
    </row>
    <row r="88" spans="1:166" ht="163.5" hidden="1" customHeight="1">
      <c r="A88" s="15"/>
      <c r="B88" s="292" t="s">
        <v>812</v>
      </c>
      <c r="C88" s="292" t="s">
        <v>812</v>
      </c>
      <c r="D88" s="125" t="s">
        <v>1169</v>
      </c>
      <c r="E88" s="125" t="s">
        <v>1244</v>
      </c>
      <c r="F88" s="47">
        <v>121743</v>
      </c>
      <c r="G88" s="18" t="s">
        <v>793</v>
      </c>
      <c r="H88" s="19">
        <f>3000000-19270.57</f>
        <v>2980729.43</v>
      </c>
      <c r="I88" s="19">
        <f>3000000-19270.57</f>
        <v>2980729.43</v>
      </c>
      <c r="J88" s="18" t="s">
        <v>807</v>
      </c>
      <c r="K88" s="18" t="s">
        <v>910</v>
      </c>
      <c r="L88" s="18" t="s">
        <v>915</v>
      </c>
      <c r="M88" s="47" t="s">
        <v>916</v>
      </c>
      <c r="N88" s="18" t="s">
        <v>917</v>
      </c>
      <c r="O88" s="47">
        <v>5581165866</v>
      </c>
      <c r="P88" s="20" t="s">
        <v>949</v>
      </c>
      <c r="Q88" s="21"/>
      <c r="R88" s="22"/>
      <c r="S88" s="22"/>
      <c r="T88" s="22"/>
      <c r="U88" s="22"/>
      <c r="V88" s="48">
        <v>44804</v>
      </c>
      <c r="W88" s="48">
        <v>44806</v>
      </c>
      <c r="X88" s="23">
        <v>2569594.34</v>
      </c>
      <c r="Y88" s="23">
        <f t="shared" si="4"/>
        <v>2980729.4343999997</v>
      </c>
      <c r="Z88" s="204">
        <v>2980729.43</v>
      </c>
      <c r="AA88" s="204">
        <f t="shared" si="30"/>
        <v>0</v>
      </c>
      <c r="AB88" s="204">
        <v>894218.83</v>
      </c>
      <c r="AC88" s="204">
        <v>894218.83</v>
      </c>
      <c r="AD88" s="204">
        <v>296200.87</v>
      </c>
      <c r="AE88" s="204">
        <v>88860.26</v>
      </c>
      <c r="AF88" s="50">
        <f t="shared" si="33"/>
        <v>207340.61</v>
      </c>
      <c r="AG88" s="248">
        <v>44868</v>
      </c>
      <c r="AH88" s="204">
        <v>2587492.59</v>
      </c>
      <c r="AI88" s="204">
        <v>805358.57</v>
      </c>
      <c r="AJ88" s="204">
        <f t="shared" si="34"/>
        <v>1782134.02</v>
      </c>
      <c r="AK88" s="248">
        <v>44902</v>
      </c>
      <c r="AL88" s="204">
        <v>56229.7</v>
      </c>
      <c r="AM88" s="204">
        <v>0</v>
      </c>
      <c r="AN88" s="204">
        <f t="shared" si="26"/>
        <v>56229.7</v>
      </c>
      <c r="AO88" s="248">
        <v>44903</v>
      </c>
      <c r="AP88" s="204">
        <v>0</v>
      </c>
      <c r="AQ88" s="204">
        <v>0</v>
      </c>
      <c r="AR88" s="204">
        <v>0</v>
      </c>
      <c r="AS88" s="204" t="s">
        <v>1301</v>
      </c>
      <c r="AT88" s="204"/>
      <c r="AU88" s="204"/>
      <c r="AV88" s="204"/>
      <c r="AW88" s="204"/>
      <c r="AX88" s="204"/>
      <c r="AY88" s="204"/>
      <c r="AZ88" s="204"/>
      <c r="BA88" s="204"/>
      <c r="BB88" s="204"/>
      <c r="BC88" s="204"/>
      <c r="BD88" s="204"/>
      <c r="BE88" s="204"/>
      <c r="BF88" s="204"/>
      <c r="BG88" s="204"/>
      <c r="BH88" s="204"/>
      <c r="BI88" s="204"/>
      <c r="BJ88" s="204"/>
      <c r="BK88" s="204"/>
      <c r="BL88" s="204"/>
      <c r="BM88" s="204"/>
      <c r="BN88" s="204"/>
      <c r="BO88" s="204"/>
      <c r="BP88" s="204"/>
      <c r="BQ88" s="204"/>
      <c r="BR88" s="204"/>
      <c r="BS88" s="204"/>
      <c r="BT88" s="204"/>
      <c r="BU88" s="204"/>
      <c r="BV88" s="204"/>
      <c r="BW88" s="204"/>
      <c r="BX88" s="204"/>
      <c r="BY88" s="204"/>
      <c r="BZ88" s="204"/>
      <c r="CA88" s="204"/>
      <c r="CB88" s="204"/>
      <c r="CC88" s="204"/>
      <c r="CD88" s="204"/>
      <c r="CE88" s="204"/>
      <c r="CF88" s="204"/>
      <c r="CG88" s="204"/>
      <c r="CH88" s="204"/>
      <c r="CI88" s="204"/>
      <c r="CJ88" s="204"/>
      <c r="CK88" s="204"/>
      <c r="CL88" s="204"/>
      <c r="CM88" s="204"/>
      <c r="CN88" s="204"/>
      <c r="CO88" s="204"/>
      <c r="CP88" s="204"/>
      <c r="CQ88" s="204"/>
      <c r="CR88" s="204"/>
      <c r="CS88" s="204"/>
      <c r="CT88" s="204"/>
      <c r="CU88" s="204"/>
      <c r="CV88" s="204"/>
      <c r="CW88" s="204"/>
      <c r="CX88" s="204"/>
      <c r="CY88" s="204"/>
      <c r="CZ88" s="204"/>
      <c r="DA88" s="204"/>
      <c r="DB88" s="204"/>
      <c r="DC88" s="204"/>
      <c r="DD88" s="204"/>
      <c r="DE88" s="204"/>
      <c r="DF88" s="204"/>
      <c r="DG88" s="204"/>
      <c r="DH88" s="204"/>
      <c r="DI88" s="204"/>
      <c r="DJ88" s="204"/>
      <c r="DK88" s="204"/>
      <c r="DL88" s="204"/>
      <c r="DM88" s="204"/>
      <c r="DN88" s="204"/>
      <c r="DO88" s="204"/>
      <c r="DP88" s="204"/>
      <c r="DQ88" s="204"/>
      <c r="DR88" s="204"/>
      <c r="DS88" s="204"/>
      <c r="DT88" s="204"/>
      <c r="DU88" s="204"/>
      <c r="DV88" s="204"/>
      <c r="DW88" s="204"/>
      <c r="DX88" s="204"/>
      <c r="DY88" s="204"/>
      <c r="DZ88" s="204"/>
      <c r="EA88" s="204"/>
      <c r="EB88" s="204"/>
      <c r="EC88" s="204"/>
      <c r="ED88" s="204"/>
      <c r="EE88" s="204"/>
      <c r="EF88" s="204"/>
      <c r="EG88" s="204"/>
      <c r="EH88" s="250">
        <f t="shared" si="27"/>
        <v>2939923.16</v>
      </c>
      <c r="EI88" s="250">
        <f t="shared" si="18"/>
        <v>894218.83</v>
      </c>
      <c r="EJ88" s="250">
        <f t="shared" si="18"/>
        <v>2045704.3299999998</v>
      </c>
      <c r="EK88" s="204">
        <f t="shared" si="10"/>
        <v>2939923.16</v>
      </c>
      <c r="EL88" s="204">
        <f t="shared" si="24"/>
        <v>0</v>
      </c>
      <c r="EM88" s="382">
        <f t="shared" si="12"/>
        <v>40806.270000000019</v>
      </c>
      <c r="EN88" s="204">
        <f t="shared" si="13"/>
        <v>894218.83000000031</v>
      </c>
      <c r="EO88" s="204">
        <f t="shared" si="14"/>
        <v>40806.270000000019</v>
      </c>
      <c r="EP88" s="204"/>
      <c r="EQ88" s="55">
        <v>44807</v>
      </c>
      <c r="ER88" s="55">
        <v>44926</v>
      </c>
      <c r="ES88" s="18"/>
      <c r="ET88" s="18"/>
      <c r="EU88" s="19"/>
      <c r="EV88" s="18"/>
      <c r="EW88" s="18"/>
      <c r="EX88" s="18"/>
      <c r="EY88" s="331">
        <f t="shared" si="31"/>
        <v>0.98630997178432256</v>
      </c>
      <c r="EZ88" s="331">
        <v>1</v>
      </c>
      <c r="FA88" s="336"/>
      <c r="FB88" s="336"/>
      <c r="FC88" s="337">
        <f t="shared" si="25"/>
        <v>0.98630997178432256</v>
      </c>
      <c r="FD88" s="338" t="s">
        <v>147</v>
      </c>
      <c r="FE88" s="47" t="s">
        <v>809</v>
      </c>
      <c r="FF88" s="47"/>
      <c r="FG88" s="47" t="s">
        <v>161</v>
      </c>
      <c r="FH88" s="47" t="s">
        <v>146</v>
      </c>
      <c r="FI88" s="49">
        <v>5500</v>
      </c>
      <c r="FJ88" s="51" t="s">
        <v>1300</v>
      </c>
    </row>
    <row r="89" spans="1:166" ht="163.5" hidden="1" customHeight="1">
      <c r="A89" s="15"/>
      <c r="B89" s="292" t="s">
        <v>812</v>
      </c>
      <c r="C89" s="292" t="s">
        <v>812</v>
      </c>
      <c r="D89" s="125" t="s">
        <v>1169</v>
      </c>
      <c r="E89" s="125" t="s">
        <v>1245</v>
      </c>
      <c r="F89" s="47">
        <v>121744</v>
      </c>
      <c r="G89" s="18" t="s">
        <v>794</v>
      </c>
      <c r="H89" s="19">
        <f>9000000-500591.28</f>
        <v>8499408.7200000007</v>
      </c>
      <c r="I89" s="19">
        <f>9000000-500591.28</f>
        <v>8499408.7200000007</v>
      </c>
      <c r="J89" s="18" t="s">
        <v>807</v>
      </c>
      <c r="K89" s="18" t="s">
        <v>185</v>
      </c>
      <c r="L89" s="18" t="s">
        <v>697</v>
      </c>
      <c r="M89" s="47" t="s">
        <v>186</v>
      </c>
      <c r="N89" s="18" t="s">
        <v>698</v>
      </c>
      <c r="O89" s="47">
        <v>5558820099</v>
      </c>
      <c r="P89" s="207" t="s">
        <v>1039</v>
      </c>
      <c r="Q89" s="21"/>
      <c r="R89" s="22"/>
      <c r="S89" s="22"/>
      <c r="T89" s="22"/>
      <c r="U89" s="22"/>
      <c r="V89" s="48">
        <v>44810</v>
      </c>
      <c r="W89" s="48">
        <v>44812</v>
      </c>
      <c r="X89" s="23">
        <v>7327076.4800000004</v>
      </c>
      <c r="Y89" s="23">
        <f t="shared" si="4"/>
        <v>8499408.7168000005</v>
      </c>
      <c r="Z89" s="204">
        <v>8499408.7200000007</v>
      </c>
      <c r="AA89" s="204">
        <f t="shared" si="30"/>
        <v>0</v>
      </c>
      <c r="AB89" s="204">
        <v>2549822.62</v>
      </c>
      <c r="AC89" s="204">
        <v>2549822.62</v>
      </c>
      <c r="AD89" s="204">
        <v>2335776.34</v>
      </c>
      <c r="AE89" s="204">
        <v>700732.9</v>
      </c>
      <c r="AF89" s="50">
        <f t="shared" si="33"/>
        <v>1635043.44</v>
      </c>
      <c r="AG89" s="248">
        <v>44902</v>
      </c>
      <c r="AH89" s="204">
        <v>1803783.39</v>
      </c>
      <c r="AI89" s="204">
        <v>541135.02</v>
      </c>
      <c r="AJ89" s="204">
        <f t="shared" si="34"/>
        <v>1262648.3699999999</v>
      </c>
      <c r="AK89" s="248">
        <v>44907</v>
      </c>
      <c r="AL89" s="52">
        <v>4096270.88</v>
      </c>
      <c r="AM89" s="52">
        <v>1307954.7</v>
      </c>
      <c r="AN89" s="52">
        <f t="shared" si="26"/>
        <v>2788316.1799999997</v>
      </c>
      <c r="AO89" s="248">
        <v>44923</v>
      </c>
      <c r="AP89" s="204">
        <v>0</v>
      </c>
      <c r="AQ89" s="204">
        <v>0</v>
      </c>
      <c r="AR89" s="204">
        <f t="shared" si="32"/>
        <v>0</v>
      </c>
      <c r="AS89" s="204" t="s">
        <v>305</v>
      </c>
      <c r="AT89" s="204"/>
      <c r="AU89" s="204"/>
      <c r="AV89" s="204"/>
      <c r="AW89" s="204"/>
      <c r="AX89" s="204"/>
      <c r="AY89" s="204"/>
      <c r="AZ89" s="204"/>
      <c r="BA89" s="204"/>
      <c r="BB89" s="204"/>
      <c r="BC89" s="204"/>
      <c r="BD89" s="204"/>
      <c r="BE89" s="204"/>
      <c r="BF89" s="204"/>
      <c r="BG89" s="204"/>
      <c r="BH89" s="204"/>
      <c r="BI89" s="204"/>
      <c r="BJ89" s="204"/>
      <c r="BK89" s="204"/>
      <c r="BL89" s="204"/>
      <c r="BM89" s="204"/>
      <c r="BN89" s="204"/>
      <c r="BO89" s="204"/>
      <c r="BP89" s="204"/>
      <c r="BQ89" s="204"/>
      <c r="BR89" s="204"/>
      <c r="BS89" s="204"/>
      <c r="BT89" s="204"/>
      <c r="BU89" s="204"/>
      <c r="BV89" s="204"/>
      <c r="BW89" s="204"/>
      <c r="BX89" s="204"/>
      <c r="BY89" s="204"/>
      <c r="BZ89" s="204"/>
      <c r="CA89" s="204"/>
      <c r="CB89" s="204"/>
      <c r="CC89" s="204"/>
      <c r="CD89" s="204"/>
      <c r="CE89" s="204"/>
      <c r="CF89" s="204"/>
      <c r="CG89" s="204"/>
      <c r="CH89" s="204"/>
      <c r="CI89" s="204"/>
      <c r="CJ89" s="204"/>
      <c r="CK89" s="204"/>
      <c r="CL89" s="204"/>
      <c r="CM89" s="204"/>
      <c r="CN89" s="204"/>
      <c r="CO89" s="204"/>
      <c r="CP89" s="204"/>
      <c r="CQ89" s="204"/>
      <c r="CR89" s="204"/>
      <c r="CS89" s="204"/>
      <c r="CT89" s="204"/>
      <c r="CU89" s="204"/>
      <c r="CV89" s="204"/>
      <c r="CW89" s="204"/>
      <c r="CX89" s="204"/>
      <c r="CY89" s="204"/>
      <c r="CZ89" s="204"/>
      <c r="DA89" s="204"/>
      <c r="DB89" s="204"/>
      <c r="DC89" s="204"/>
      <c r="DD89" s="204"/>
      <c r="DE89" s="204"/>
      <c r="DF89" s="204"/>
      <c r="DG89" s="204"/>
      <c r="DH89" s="204"/>
      <c r="DI89" s="204"/>
      <c r="DJ89" s="204"/>
      <c r="DK89" s="204"/>
      <c r="DL89" s="204"/>
      <c r="DM89" s="204"/>
      <c r="DN89" s="204"/>
      <c r="DO89" s="204"/>
      <c r="DP89" s="204"/>
      <c r="DQ89" s="204"/>
      <c r="DR89" s="204"/>
      <c r="DS89" s="204"/>
      <c r="DT89" s="204"/>
      <c r="DU89" s="204"/>
      <c r="DV89" s="204"/>
      <c r="DW89" s="204"/>
      <c r="DX89" s="204"/>
      <c r="DY89" s="204"/>
      <c r="DZ89" s="204"/>
      <c r="EA89" s="204"/>
      <c r="EB89" s="204"/>
      <c r="EC89" s="204"/>
      <c r="ED89" s="204"/>
      <c r="EE89" s="204"/>
      <c r="EF89" s="204"/>
      <c r="EG89" s="204"/>
      <c r="EH89" s="250">
        <f t="shared" si="27"/>
        <v>8235830.6099999994</v>
      </c>
      <c r="EI89" s="250">
        <f t="shared" si="18"/>
        <v>2549822.62</v>
      </c>
      <c r="EJ89" s="250">
        <f t="shared" si="18"/>
        <v>5686007.9899999993</v>
      </c>
      <c r="EK89" s="204">
        <f t="shared" si="10"/>
        <v>8235830.6100000003</v>
      </c>
      <c r="EL89" s="204">
        <f t="shared" si="24"/>
        <v>0</v>
      </c>
      <c r="EM89" s="382">
        <f t="shared" si="12"/>
        <v>263578.11000000127</v>
      </c>
      <c r="EN89" s="204">
        <f t="shared" si="13"/>
        <v>2549822.62</v>
      </c>
      <c r="EO89" s="204">
        <f t="shared" si="14"/>
        <v>263578.11000000127</v>
      </c>
      <c r="EP89" s="204"/>
      <c r="EQ89" s="55">
        <v>44813</v>
      </c>
      <c r="ER89" s="55">
        <v>44926</v>
      </c>
      <c r="ES89" s="18"/>
      <c r="ET89" s="18"/>
      <c r="EU89" s="19"/>
      <c r="EV89" s="18"/>
      <c r="EW89" s="18"/>
      <c r="EX89" s="18"/>
      <c r="EY89" s="331">
        <f t="shared" si="31"/>
        <v>0.96898865336599538</v>
      </c>
      <c r="EZ89" s="332">
        <v>1</v>
      </c>
      <c r="FA89" s="336"/>
      <c r="FB89" s="336"/>
      <c r="FC89" s="337">
        <f t="shared" si="25"/>
        <v>0.96898865336599549</v>
      </c>
      <c r="FD89" s="338" t="s">
        <v>147</v>
      </c>
      <c r="FE89" s="47" t="s">
        <v>259</v>
      </c>
      <c r="FF89" s="47"/>
      <c r="FG89" s="47" t="s">
        <v>138</v>
      </c>
      <c r="FH89" s="47" t="s">
        <v>146</v>
      </c>
      <c r="FI89" s="49">
        <v>6000</v>
      </c>
      <c r="FJ89" s="51" t="s">
        <v>1194</v>
      </c>
    </row>
    <row r="90" spans="1:166" ht="163.5" hidden="1" customHeight="1">
      <c r="A90" s="15"/>
      <c r="B90" s="292" t="s">
        <v>812</v>
      </c>
      <c r="C90" s="292" t="s">
        <v>812</v>
      </c>
      <c r="D90" s="125" t="s">
        <v>1169</v>
      </c>
      <c r="E90" s="125" t="s">
        <v>1246</v>
      </c>
      <c r="F90" s="47">
        <v>121745</v>
      </c>
      <c r="G90" s="18" t="s">
        <v>795</v>
      </c>
      <c r="H90" s="19">
        <f>9000000-1141156.65</f>
        <v>7858843.3499999996</v>
      </c>
      <c r="I90" s="19">
        <f>9000000-1141156.65</f>
        <v>7858843.3499999996</v>
      </c>
      <c r="J90" s="18" t="s">
        <v>807</v>
      </c>
      <c r="K90" s="18" t="s">
        <v>198</v>
      </c>
      <c r="L90" s="18" t="s">
        <v>199</v>
      </c>
      <c r="M90" s="47" t="s">
        <v>918</v>
      </c>
      <c r="N90" s="18" t="s">
        <v>775</v>
      </c>
      <c r="O90" s="47">
        <v>7222192339</v>
      </c>
      <c r="P90" s="20" t="s">
        <v>988</v>
      </c>
      <c r="Q90" s="21"/>
      <c r="R90" s="22"/>
      <c r="S90" s="22"/>
      <c r="T90" s="22"/>
      <c r="U90" s="22"/>
      <c r="V90" s="48">
        <v>44804</v>
      </c>
      <c r="W90" s="48">
        <v>44806</v>
      </c>
      <c r="X90" s="23">
        <v>6774864.96</v>
      </c>
      <c r="Y90" s="23">
        <f t="shared" si="4"/>
        <v>7858843.3535999991</v>
      </c>
      <c r="Z90" s="204">
        <v>7858843.3499999996</v>
      </c>
      <c r="AA90" s="204">
        <f t="shared" si="30"/>
        <v>0</v>
      </c>
      <c r="AB90" s="204">
        <v>2357653.0099999998</v>
      </c>
      <c r="AC90" s="204">
        <v>2357653.0099999998</v>
      </c>
      <c r="AD90" s="204">
        <v>1535729.43</v>
      </c>
      <c r="AE90" s="50">
        <v>460718.83</v>
      </c>
      <c r="AF90" s="50">
        <f t="shared" si="33"/>
        <v>1075010.5999999999</v>
      </c>
      <c r="AG90" s="248">
        <v>44872</v>
      </c>
      <c r="AH90" s="204">
        <v>6319386.29</v>
      </c>
      <c r="AI90" s="204">
        <v>1896934.18</v>
      </c>
      <c r="AJ90" s="204">
        <f t="shared" si="34"/>
        <v>4422452.1100000003</v>
      </c>
      <c r="AK90" s="248">
        <v>44902</v>
      </c>
      <c r="AL90" s="204">
        <v>0</v>
      </c>
      <c r="AM90" s="204">
        <v>0</v>
      </c>
      <c r="AN90" s="204">
        <f t="shared" si="26"/>
        <v>0</v>
      </c>
      <c r="AO90" s="204" t="s">
        <v>1297</v>
      </c>
      <c r="AP90" s="204"/>
      <c r="AQ90" s="204"/>
      <c r="AR90" s="204">
        <f t="shared" si="32"/>
        <v>0</v>
      </c>
      <c r="AS90" s="204"/>
      <c r="AT90" s="204"/>
      <c r="AU90" s="204"/>
      <c r="AV90" s="204"/>
      <c r="AW90" s="204"/>
      <c r="AX90" s="204"/>
      <c r="AY90" s="204"/>
      <c r="AZ90" s="204"/>
      <c r="BA90" s="204"/>
      <c r="BB90" s="204"/>
      <c r="BC90" s="204"/>
      <c r="BD90" s="204"/>
      <c r="BE90" s="204"/>
      <c r="BF90" s="204"/>
      <c r="BG90" s="204"/>
      <c r="BH90" s="204"/>
      <c r="BI90" s="204"/>
      <c r="BJ90" s="204"/>
      <c r="BK90" s="204"/>
      <c r="BL90" s="204"/>
      <c r="BM90" s="204"/>
      <c r="BN90" s="204"/>
      <c r="BO90" s="204"/>
      <c r="BP90" s="204"/>
      <c r="BQ90" s="204"/>
      <c r="BR90" s="204"/>
      <c r="BS90" s="204"/>
      <c r="BT90" s="204"/>
      <c r="BU90" s="204"/>
      <c r="BV90" s="204"/>
      <c r="BW90" s="204"/>
      <c r="BX90" s="204"/>
      <c r="BY90" s="204"/>
      <c r="BZ90" s="204"/>
      <c r="CA90" s="204"/>
      <c r="CB90" s="204"/>
      <c r="CC90" s="204"/>
      <c r="CD90" s="204"/>
      <c r="CE90" s="204"/>
      <c r="CF90" s="204"/>
      <c r="CG90" s="204"/>
      <c r="CH90" s="204"/>
      <c r="CI90" s="204"/>
      <c r="CJ90" s="204"/>
      <c r="CK90" s="204"/>
      <c r="CL90" s="204"/>
      <c r="CM90" s="204"/>
      <c r="CN90" s="204"/>
      <c r="CO90" s="204"/>
      <c r="CP90" s="204"/>
      <c r="CQ90" s="204"/>
      <c r="CR90" s="204"/>
      <c r="CS90" s="204"/>
      <c r="CT90" s="204"/>
      <c r="CU90" s="204"/>
      <c r="CV90" s="204"/>
      <c r="CW90" s="204"/>
      <c r="CX90" s="204"/>
      <c r="CY90" s="204"/>
      <c r="CZ90" s="204"/>
      <c r="DA90" s="204"/>
      <c r="DB90" s="204"/>
      <c r="DC90" s="204"/>
      <c r="DD90" s="204"/>
      <c r="DE90" s="204"/>
      <c r="DF90" s="204"/>
      <c r="DG90" s="204"/>
      <c r="DH90" s="204"/>
      <c r="DI90" s="204"/>
      <c r="DJ90" s="204"/>
      <c r="DK90" s="204"/>
      <c r="DL90" s="204"/>
      <c r="DM90" s="204"/>
      <c r="DN90" s="204"/>
      <c r="DO90" s="204"/>
      <c r="DP90" s="204"/>
      <c r="DQ90" s="204"/>
      <c r="DR90" s="204"/>
      <c r="DS90" s="204"/>
      <c r="DT90" s="204"/>
      <c r="DU90" s="204"/>
      <c r="DV90" s="204"/>
      <c r="DW90" s="204"/>
      <c r="DX90" s="204"/>
      <c r="DY90" s="204"/>
      <c r="DZ90" s="204"/>
      <c r="EA90" s="204"/>
      <c r="EB90" s="204"/>
      <c r="EC90" s="204"/>
      <c r="ED90" s="204"/>
      <c r="EE90" s="204"/>
      <c r="EF90" s="204"/>
      <c r="EG90" s="204"/>
      <c r="EH90" s="250">
        <f t="shared" si="27"/>
        <v>7855115.7199999997</v>
      </c>
      <c r="EI90" s="250">
        <f t="shared" si="18"/>
        <v>2357653.0099999998</v>
      </c>
      <c r="EJ90" s="250">
        <f t="shared" si="18"/>
        <v>5497462.71</v>
      </c>
      <c r="EK90" s="204">
        <f t="shared" si="10"/>
        <v>7855115.7200000007</v>
      </c>
      <c r="EL90" s="204">
        <f t="shared" si="24"/>
        <v>0</v>
      </c>
      <c r="EM90" s="382">
        <f t="shared" si="12"/>
        <v>3727.6299999998882</v>
      </c>
      <c r="EN90" s="204">
        <f t="shared" si="13"/>
        <v>2357653.0099999998</v>
      </c>
      <c r="EO90" s="204">
        <f t="shared" si="14"/>
        <v>3727.6299999998882</v>
      </c>
      <c r="EP90" s="204"/>
      <c r="EQ90" s="55">
        <v>44807</v>
      </c>
      <c r="ER90" s="55">
        <v>44926</v>
      </c>
      <c r="ES90" s="18"/>
      <c r="ET90" s="18"/>
      <c r="EU90" s="19"/>
      <c r="EV90" s="18"/>
      <c r="EW90" s="18"/>
      <c r="EX90" s="47" t="s">
        <v>1350</v>
      </c>
      <c r="EY90" s="331">
        <f t="shared" si="31"/>
        <v>0.99952567701963424</v>
      </c>
      <c r="EZ90" s="332">
        <v>1</v>
      </c>
      <c r="FA90" s="336"/>
      <c r="FB90" s="336"/>
      <c r="FC90" s="337">
        <f t="shared" si="25"/>
        <v>0.99952567701963435</v>
      </c>
      <c r="FD90" s="338" t="s">
        <v>147</v>
      </c>
      <c r="FE90" s="47" t="s">
        <v>259</v>
      </c>
      <c r="FF90" s="47"/>
      <c r="FG90" s="47" t="s">
        <v>138</v>
      </c>
      <c r="FH90" s="47" t="s">
        <v>146</v>
      </c>
      <c r="FI90" s="49">
        <v>8000</v>
      </c>
      <c r="FJ90" s="51" t="s">
        <v>1281</v>
      </c>
    </row>
    <row r="91" spans="1:166" ht="163.5" hidden="1" customHeight="1">
      <c r="A91" s="15"/>
      <c r="B91" s="292" t="s">
        <v>812</v>
      </c>
      <c r="C91" s="292" t="s">
        <v>812</v>
      </c>
      <c r="D91" s="125" t="s">
        <v>1169</v>
      </c>
      <c r="E91" s="125" t="s">
        <v>1247</v>
      </c>
      <c r="F91" s="47">
        <v>121746</v>
      </c>
      <c r="G91" s="18" t="s">
        <v>796</v>
      </c>
      <c r="H91" s="19">
        <f>17000000-1006259.82</f>
        <v>15993740.18</v>
      </c>
      <c r="I91" s="19">
        <f>17000000-1006259.82</f>
        <v>15993740.18</v>
      </c>
      <c r="J91" s="18" t="s">
        <v>807</v>
      </c>
      <c r="K91" s="18" t="s">
        <v>925</v>
      </c>
      <c r="L91" s="18" t="s">
        <v>926</v>
      </c>
      <c r="M91" s="47" t="s">
        <v>927</v>
      </c>
      <c r="N91" s="18" t="s">
        <v>928</v>
      </c>
      <c r="O91" s="47" t="s">
        <v>929</v>
      </c>
      <c r="P91" s="274" t="s">
        <v>1038</v>
      </c>
      <c r="Q91" s="21"/>
      <c r="R91" s="22"/>
      <c r="S91" s="22"/>
      <c r="T91" s="22"/>
      <c r="U91" s="22"/>
      <c r="V91" s="48">
        <v>44806</v>
      </c>
      <c r="W91" s="48">
        <v>44810</v>
      </c>
      <c r="X91" s="23">
        <v>13787707.050000001</v>
      </c>
      <c r="Y91" s="23">
        <f t="shared" si="4"/>
        <v>15993740.177999999</v>
      </c>
      <c r="Z91" s="204">
        <v>15993740.18</v>
      </c>
      <c r="AA91" s="204">
        <f t="shared" si="30"/>
        <v>0</v>
      </c>
      <c r="AB91" s="204">
        <v>4798122.05</v>
      </c>
      <c r="AC91" s="204">
        <v>4798122.05</v>
      </c>
      <c r="AD91" s="204">
        <v>2705493.24</v>
      </c>
      <c r="AE91" s="204">
        <v>1439463.62</v>
      </c>
      <c r="AF91" s="50">
        <f t="shared" si="33"/>
        <v>1266029.6200000001</v>
      </c>
      <c r="AG91" s="249">
        <v>44847</v>
      </c>
      <c r="AH91" s="204">
        <v>1989176.97</v>
      </c>
      <c r="AI91" s="204">
        <v>1439436.62</v>
      </c>
      <c r="AJ91" s="204">
        <f t="shared" si="34"/>
        <v>549740.34999999986</v>
      </c>
      <c r="AK91" s="249">
        <v>44894</v>
      </c>
      <c r="AL91" s="204">
        <v>3743153.51</v>
      </c>
      <c r="AM91" s="204">
        <v>1439436.62</v>
      </c>
      <c r="AN91" s="204">
        <f t="shared" si="26"/>
        <v>2303716.8899999997</v>
      </c>
      <c r="AO91" s="249">
        <v>44904</v>
      </c>
      <c r="AP91" s="204">
        <v>6600549.2300000004</v>
      </c>
      <c r="AQ91" s="204">
        <v>479812.19</v>
      </c>
      <c r="AR91" s="204">
        <f t="shared" si="32"/>
        <v>6120737.04</v>
      </c>
      <c r="AS91" s="249">
        <v>44904</v>
      </c>
      <c r="AT91" s="204">
        <v>953852.89</v>
      </c>
      <c r="AU91" s="204">
        <v>0</v>
      </c>
      <c r="AV91" s="204">
        <f>AT91-AU91</f>
        <v>953852.89</v>
      </c>
      <c r="AW91" s="249">
        <v>44921</v>
      </c>
      <c r="AX91" s="204">
        <v>1464.37</v>
      </c>
      <c r="AY91" s="204">
        <v>0</v>
      </c>
      <c r="AZ91" s="204">
        <f>AX91-AY91</f>
        <v>1464.37</v>
      </c>
      <c r="BA91" s="204"/>
      <c r="BB91" s="204"/>
      <c r="BC91" s="204"/>
      <c r="BD91" s="204"/>
      <c r="BE91" s="204"/>
      <c r="BF91" s="204"/>
      <c r="BG91" s="204"/>
      <c r="BH91" s="204"/>
      <c r="BI91" s="204"/>
      <c r="BJ91" s="204"/>
      <c r="BK91" s="204"/>
      <c r="BL91" s="204"/>
      <c r="BM91" s="204"/>
      <c r="BN91" s="204"/>
      <c r="BO91" s="204"/>
      <c r="BP91" s="204"/>
      <c r="BQ91" s="204"/>
      <c r="BR91" s="204"/>
      <c r="BS91" s="204"/>
      <c r="BT91" s="204"/>
      <c r="BU91" s="204"/>
      <c r="BV91" s="204"/>
      <c r="BW91" s="204"/>
      <c r="BX91" s="204"/>
      <c r="BY91" s="204"/>
      <c r="BZ91" s="204"/>
      <c r="CA91" s="204"/>
      <c r="CB91" s="204"/>
      <c r="CC91" s="204"/>
      <c r="CD91" s="204"/>
      <c r="CE91" s="204"/>
      <c r="CF91" s="204"/>
      <c r="CG91" s="204"/>
      <c r="CH91" s="204"/>
      <c r="CI91" s="204"/>
      <c r="CJ91" s="204"/>
      <c r="CK91" s="204"/>
      <c r="CL91" s="204"/>
      <c r="CM91" s="204"/>
      <c r="CN91" s="204"/>
      <c r="CO91" s="204"/>
      <c r="CP91" s="204"/>
      <c r="CQ91" s="204"/>
      <c r="CR91" s="204"/>
      <c r="CS91" s="204"/>
      <c r="CT91" s="204"/>
      <c r="CU91" s="204"/>
      <c r="CV91" s="204"/>
      <c r="CW91" s="204"/>
      <c r="CX91" s="204"/>
      <c r="CY91" s="204"/>
      <c r="CZ91" s="204"/>
      <c r="DA91" s="204"/>
      <c r="DB91" s="204"/>
      <c r="DC91" s="204"/>
      <c r="DD91" s="204"/>
      <c r="DE91" s="204"/>
      <c r="DF91" s="204"/>
      <c r="DG91" s="204"/>
      <c r="DH91" s="204"/>
      <c r="DI91" s="204"/>
      <c r="DJ91" s="204"/>
      <c r="DK91" s="204"/>
      <c r="DL91" s="204"/>
      <c r="DM91" s="204"/>
      <c r="DN91" s="204"/>
      <c r="DO91" s="204"/>
      <c r="DP91" s="204"/>
      <c r="DQ91" s="204"/>
      <c r="DR91" s="204"/>
      <c r="DS91" s="204"/>
      <c r="DT91" s="204"/>
      <c r="DU91" s="204"/>
      <c r="DV91" s="204"/>
      <c r="DW91" s="204"/>
      <c r="DX91" s="204"/>
      <c r="DY91" s="204"/>
      <c r="DZ91" s="204"/>
      <c r="EA91" s="204"/>
      <c r="EB91" s="204"/>
      <c r="EC91" s="204"/>
      <c r="ED91" s="204"/>
      <c r="EE91" s="204"/>
      <c r="EF91" s="204"/>
      <c r="EG91" s="204"/>
      <c r="EH91" s="250">
        <f t="shared" si="27"/>
        <v>15993690.209999999</v>
      </c>
      <c r="EI91" s="250">
        <f t="shared" si="18"/>
        <v>4798149.0500000007</v>
      </c>
      <c r="EJ91" s="250">
        <f t="shared" si="18"/>
        <v>11195541.159999998</v>
      </c>
      <c r="EK91" s="204">
        <f t="shared" si="10"/>
        <v>15993663.209999997</v>
      </c>
      <c r="EL91" s="204">
        <f t="shared" si="24"/>
        <v>-27.000000000931323</v>
      </c>
      <c r="EM91" s="382">
        <f t="shared" si="12"/>
        <v>49.970000000670552</v>
      </c>
      <c r="EN91" s="204">
        <f t="shared" si="13"/>
        <v>4798149.0500000007</v>
      </c>
      <c r="EO91" s="204">
        <f t="shared" si="14"/>
        <v>49.970000000670552</v>
      </c>
      <c r="EP91" s="204"/>
      <c r="EQ91" s="55">
        <v>44811</v>
      </c>
      <c r="ER91" s="55">
        <v>44926</v>
      </c>
      <c r="ES91" s="18"/>
      <c r="ET91" s="18"/>
      <c r="EU91" s="19"/>
      <c r="EV91" s="18"/>
      <c r="EW91" s="18"/>
      <c r="EX91" s="18"/>
      <c r="EY91" s="331">
        <f t="shared" si="31"/>
        <v>0.99999687565263418</v>
      </c>
      <c r="EZ91" s="331">
        <v>1</v>
      </c>
      <c r="FA91" s="336"/>
      <c r="FB91" s="336"/>
      <c r="FC91" s="337">
        <f t="shared" si="25"/>
        <v>0.99999518749216032</v>
      </c>
      <c r="FD91" s="338" t="s">
        <v>147</v>
      </c>
      <c r="FE91" s="47" t="s">
        <v>810</v>
      </c>
      <c r="FF91" s="47"/>
      <c r="FG91" s="47" t="s">
        <v>154</v>
      </c>
      <c r="FH91" s="47" t="s">
        <v>146</v>
      </c>
      <c r="FI91" s="25">
        <v>2830</v>
      </c>
      <c r="FJ91" s="51" t="s">
        <v>1194</v>
      </c>
    </row>
    <row r="92" spans="1:166" ht="163.5" hidden="1" customHeight="1">
      <c r="A92" s="15"/>
      <c r="B92" s="292" t="s">
        <v>812</v>
      </c>
      <c r="C92" s="292" t="s">
        <v>812</v>
      </c>
      <c r="D92" s="125" t="s">
        <v>1169</v>
      </c>
      <c r="E92" s="125" t="s">
        <v>1248</v>
      </c>
      <c r="F92" s="47">
        <v>121747</v>
      </c>
      <c r="G92" s="18" t="s">
        <v>797</v>
      </c>
      <c r="H92" s="19">
        <f>9000000-100431.28</f>
        <v>8899568.7200000007</v>
      </c>
      <c r="I92" s="19">
        <f>9000000-100431.28</f>
        <v>8899568.7200000007</v>
      </c>
      <c r="J92" s="18" t="s">
        <v>807</v>
      </c>
      <c r="K92" s="18" t="s">
        <v>984</v>
      </c>
      <c r="L92" s="18" t="s">
        <v>1024</v>
      </c>
      <c r="M92" s="47" t="s">
        <v>1025</v>
      </c>
      <c r="N92" s="18" t="s">
        <v>1026</v>
      </c>
      <c r="O92" s="47">
        <v>5553121672</v>
      </c>
      <c r="P92" s="20" t="s">
        <v>1027</v>
      </c>
      <c r="Q92" s="21"/>
      <c r="R92" s="22"/>
      <c r="S92" s="22"/>
      <c r="T92" s="22"/>
      <c r="U92" s="22"/>
      <c r="V92" s="48">
        <v>44810</v>
      </c>
      <c r="W92" s="48">
        <v>44812</v>
      </c>
      <c r="X92" s="23">
        <v>7672042</v>
      </c>
      <c r="Y92" s="23">
        <f t="shared" si="4"/>
        <v>8899568.7199999988</v>
      </c>
      <c r="Z92" s="204">
        <v>8899568.7200000007</v>
      </c>
      <c r="AA92" s="204">
        <f t="shared" si="30"/>
        <v>0</v>
      </c>
      <c r="AB92" s="204">
        <f>Z92*0.3</f>
        <v>2669870.6159999999</v>
      </c>
      <c r="AC92" s="204">
        <v>2669870.62</v>
      </c>
      <c r="AD92" s="204">
        <v>7825715.9299999997</v>
      </c>
      <c r="AE92" s="204">
        <v>2669870.62</v>
      </c>
      <c r="AF92" s="50">
        <f t="shared" si="33"/>
        <v>5155845.3099999996</v>
      </c>
      <c r="AG92" s="249">
        <v>44903</v>
      </c>
      <c r="AH92" s="204">
        <v>1032463.57</v>
      </c>
      <c r="AI92" s="204">
        <v>0</v>
      </c>
      <c r="AJ92" s="204">
        <f t="shared" si="34"/>
        <v>1032463.57</v>
      </c>
      <c r="AK92" s="249">
        <v>44917</v>
      </c>
      <c r="AL92" s="204">
        <v>0</v>
      </c>
      <c r="AM92" s="204">
        <v>0</v>
      </c>
      <c r="AN92" s="204">
        <f t="shared" si="26"/>
        <v>0</v>
      </c>
      <c r="AO92" s="204" t="s">
        <v>305</v>
      </c>
      <c r="AP92" s="204"/>
      <c r="AQ92" s="204"/>
      <c r="AR92" s="204">
        <f t="shared" si="32"/>
        <v>0</v>
      </c>
      <c r="AS92" s="204"/>
      <c r="AT92" s="204"/>
      <c r="AU92" s="204"/>
      <c r="AV92" s="204"/>
      <c r="AW92" s="204"/>
      <c r="AX92" s="204"/>
      <c r="AY92" s="204"/>
      <c r="AZ92" s="204"/>
      <c r="BA92" s="204"/>
      <c r="BB92" s="204"/>
      <c r="BC92" s="204"/>
      <c r="BD92" s="204"/>
      <c r="BE92" s="204"/>
      <c r="BF92" s="204"/>
      <c r="BG92" s="204"/>
      <c r="BH92" s="204"/>
      <c r="BI92" s="204"/>
      <c r="BJ92" s="204"/>
      <c r="BK92" s="204"/>
      <c r="BL92" s="204"/>
      <c r="BM92" s="204"/>
      <c r="BN92" s="204"/>
      <c r="BO92" s="204"/>
      <c r="BP92" s="204"/>
      <c r="BQ92" s="204"/>
      <c r="BR92" s="204"/>
      <c r="BS92" s="204"/>
      <c r="BT92" s="204"/>
      <c r="BU92" s="204"/>
      <c r="BV92" s="204"/>
      <c r="BW92" s="204"/>
      <c r="BX92" s="204"/>
      <c r="BY92" s="204"/>
      <c r="BZ92" s="204"/>
      <c r="CA92" s="204"/>
      <c r="CB92" s="204"/>
      <c r="CC92" s="204"/>
      <c r="CD92" s="204"/>
      <c r="CE92" s="204"/>
      <c r="CF92" s="204"/>
      <c r="CG92" s="204"/>
      <c r="CH92" s="204"/>
      <c r="CI92" s="204"/>
      <c r="CJ92" s="204"/>
      <c r="CK92" s="204"/>
      <c r="CL92" s="204"/>
      <c r="CM92" s="204"/>
      <c r="CN92" s="204"/>
      <c r="CO92" s="204"/>
      <c r="CP92" s="204"/>
      <c r="CQ92" s="204"/>
      <c r="CR92" s="204"/>
      <c r="CS92" s="204"/>
      <c r="CT92" s="204"/>
      <c r="CU92" s="204"/>
      <c r="CV92" s="204"/>
      <c r="CW92" s="204"/>
      <c r="CX92" s="204"/>
      <c r="CY92" s="204"/>
      <c r="CZ92" s="204"/>
      <c r="DA92" s="204"/>
      <c r="DB92" s="204"/>
      <c r="DC92" s="204"/>
      <c r="DD92" s="204"/>
      <c r="DE92" s="204"/>
      <c r="DF92" s="204"/>
      <c r="DG92" s="204"/>
      <c r="DH92" s="204"/>
      <c r="DI92" s="204"/>
      <c r="DJ92" s="204"/>
      <c r="DK92" s="204"/>
      <c r="DL92" s="204"/>
      <c r="DM92" s="204"/>
      <c r="DN92" s="204"/>
      <c r="DO92" s="204"/>
      <c r="DP92" s="204"/>
      <c r="DQ92" s="204"/>
      <c r="DR92" s="204"/>
      <c r="DS92" s="204"/>
      <c r="DT92" s="204"/>
      <c r="DU92" s="204"/>
      <c r="DV92" s="204"/>
      <c r="DW92" s="204"/>
      <c r="DX92" s="204"/>
      <c r="DY92" s="204"/>
      <c r="DZ92" s="204"/>
      <c r="EA92" s="204"/>
      <c r="EB92" s="204"/>
      <c r="EC92" s="204"/>
      <c r="ED92" s="204"/>
      <c r="EE92" s="204"/>
      <c r="EF92" s="204"/>
      <c r="EG92" s="204"/>
      <c r="EH92" s="250">
        <f t="shared" si="27"/>
        <v>8858179.5</v>
      </c>
      <c r="EI92" s="250">
        <f t="shared" si="18"/>
        <v>2669870.62</v>
      </c>
      <c r="EJ92" s="250">
        <f t="shared" si="18"/>
        <v>6188308.8799999999</v>
      </c>
      <c r="EK92" s="204">
        <f t="shared" si="10"/>
        <v>8858179.5</v>
      </c>
      <c r="EL92" s="204">
        <f t="shared" si="24"/>
        <v>0</v>
      </c>
      <c r="EM92" s="382">
        <f t="shared" si="12"/>
        <v>41389.220000000671</v>
      </c>
      <c r="EN92" s="204">
        <f t="shared" si="13"/>
        <v>2669870.62</v>
      </c>
      <c r="EO92" s="204">
        <f t="shared" si="14"/>
        <v>41389.220000000671</v>
      </c>
      <c r="EP92" s="204"/>
      <c r="EQ92" s="55">
        <v>44813</v>
      </c>
      <c r="ER92" s="55">
        <v>44926</v>
      </c>
      <c r="ES92" s="18"/>
      <c r="ET92" s="18"/>
      <c r="EU92" s="19"/>
      <c r="EV92" s="18"/>
      <c r="EW92" s="18"/>
      <c r="EX92" s="47" t="s">
        <v>1353</v>
      </c>
      <c r="EY92" s="331">
        <f t="shared" si="31"/>
        <v>0.99534930047711334</v>
      </c>
      <c r="EZ92" s="332">
        <v>1</v>
      </c>
      <c r="FA92" s="336"/>
      <c r="FB92" s="336"/>
      <c r="FC92" s="337">
        <f t="shared" si="25"/>
        <v>0.99534930047711334</v>
      </c>
      <c r="FD92" s="338" t="s">
        <v>147</v>
      </c>
      <c r="FE92" s="47" t="s">
        <v>151</v>
      </c>
      <c r="FF92" s="47"/>
      <c r="FG92" s="47" t="s">
        <v>138</v>
      </c>
      <c r="FH92" s="47" t="s">
        <v>146</v>
      </c>
      <c r="FI92" s="49">
        <v>8899</v>
      </c>
      <c r="FJ92" s="51" t="s">
        <v>1281</v>
      </c>
    </row>
    <row r="93" spans="1:166" ht="163.5" hidden="1" customHeight="1">
      <c r="A93" s="15"/>
      <c r="B93" s="292" t="s">
        <v>812</v>
      </c>
      <c r="C93" s="292" t="s">
        <v>812</v>
      </c>
      <c r="D93" s="125" t="s">
        <v>1169</v>
      </c>
      <c r="E93" s="125" t="s">
        <v>1249</v>
      </c>
      <c r="F93" s="47">
        <v>121748</v>
      </c>
      <c r="G93" s="18" t="s">
        <v>798</v>
      </c>
      <c r="H93" s="19">
        <f>10000000-3220508.13</f>
        <v>6779491.8700000001</v>
      </c>
      <c r="I93" s="19">
        <f>10000000-3220508.13</f>
        <v>6779491.8700000001</v>
      </c>
      <c r="J93" s="18" t="s">
        <v>807</v>
      </c>
      <c r="K93" s="18" t="s">
        <v>984</v>
      </c>
      <c r="L93" s="18" t="s">
        <v>1024</v>
      </c>
      <c r="M93" s="47" t="s">
        <v>1025</v>
      </c>
      <c r="N93" s="18" t="s">
        <v>1026</v>
      </c>
      <c r="O93" s="47">
        <v>5553121672</v>
      </c>
      <c r="P93" s="20" t="s">
        <v>1028</v>
      </c>
      <c r="Q93" s="21"/>
      <c r="R93" s="22"/>
      <c r="S93" s="22"/>
      <c r="T93" s="22"/>
      <c r="U93" s="22"/>
      <c r="V93" s="48">
        <v>44809</v>
      </c>
      <c r="W93" s="48">
        <v>44811</v>
      </c>
      <c r="X93" s="23">
        <v>5844389.54</v>
      </c>
      <c r="Y93" s="23">
        <f t="shared" si="4"/>
        <v>6779491.8663999997</v>
      </c>
      <c r="Z93" s="204">
        <v>6779491.8700000001</v>
      </c>
      <c r="AA93" s="204">
        <f t="shared" si="30"/>
        <v>0</v>
      </c>
      <c r="AB93" s="204">
        <v>2033847.56</v>
      </c>
      <c r="AC93" s="204">
        <v>2033847.56</v>
      </c>
      <c r="AD93" s="204">
        <v>4216244.1399999997</v>
      </c>
      <c r="AE93" s="204">
        <v>2033847.56</v>
      </c>
      <c r="AF93" s="50">
        <f t="shared" si="33"/>
        <v>2182396.5799999996</v>
      </c>
      <c r="AG93" s="249">
        <v>44903</v>
      </c>
      <c r="AH93" s="204">
        <v>1550891.29</v>
      </c>
      <c r="AI93" s="204">
        <v>0</v>
      </c>
      <c r="AJ93" s="204">
        <f t="shared" si="34"/>
        <v>1550891.29</v>
      </c>
      <c r="AK93" s="249">
        <v>44923</v>
      </c>
      <c r="AL93" s="204">
        <v>0</v>
      </c>
      <c r="AM93" s="204">
        <v>0</v>
      </c>
      <c r="AN93" s="204">
        <v>0</v>
      </c>
      <c r="AO93" s="204" t="s">
        <v>305</v>
      </c>
      <c r="AP93" s="204"/>
      <c r="AQ93" s="204"/>
      <c r="AR93" s="204">
        <f t="shared" si="32"/>
        <v>0</v>
      </c>
      <c r="AS93" s="204"/>
      <c r="AT93" s="204"/>
      <c r="AU93" s="204"/>
      <c r="AV93" s="204"/>
      <c r="AW93" s="204"/>
      <c r="AX93" s="204"/>
      <c r="AY93" s="204"/>
      <c r="AZ93" s="204"/>
      <c r="BA93" s="204"/>
      <c r="BB93" s="204"/>
      <c r="BC93" s="204"/>
      <c r="BD93" s="204"/>
      <c r="BE93" s="204"/>
      <c r="BF93" s="204"/>
      <c r="BG93" s="204"/>
      <c r="BH93" s="204"/>
      <c r="BI93" s="204"/>
      <c r="BJ93" s="204"/>
      <c r="BK93" s="204"/>
      <c r="BL93" s="204"/>
      <c r="BM93" s="204"/>
      <c r="BN93" s="204"/>
      <c r="BO93" s="204"/>
      <c r="BP93" s="204"/>
      <c r="BQ93" s="204"/>
      <c r="BR93" s="204"/>
      <c r="BS93" s="204"/>
      <c r="BT93" s="204"/>
      <c r="BU93" s="204"/>
      <c r="BV93" s="204"/>
      <c r="BW93" s="204"/>
      <c r="BX93" s="204"/>
      <c r="BY93" s="204"/>
      <c r="BZ93" s="204"/>
      <c r="CA93" s="204"/>
      <c r="CB93" s="204"/>
      <c r="CC93" s="204"/>
      <c r="CD93" s="204"/>
      <c r="CE93" s="204"/>
      <c r="CF93" s="204"/>
      <c r="CG93" s="204"/>
      <c r="CH93" s="204"/>
      <c r="CI93" s="204"/>
      <c r="CJ93" s="204"/>
      <c r="CK93" s="204"/>
      <c r="CL93" s="204"/>
      <c r="CM93" s="204"/>
      <c r="CN93" s="204"/>
      <c r="CO93" s="204"/>
      <c r="CP93" s="204"/>
      <c r="CQ93" s="204"/>
      <c r="CR93" s="204"/>
      <c r="CS93" s="204"/>
      <c r="CT93" s="204"/>
      <c r="CU93" s="204"/>
      <c r="CV93" s="204"/>
      <c r="CW93" s="204"/>
      <c r="CX93" s="204"/>
      <c r="CY93" s="204"/>
      <c r="CZ93" s="204"/>
      <c r="DA93" s="204"/>
      <c r="DB93" s="204"/>
      <c r="DC93" s="204"/>
      <c r="DD93" s="204"/>
      <c r="DE93" s="204"/>
      <c r="DF93" s="204"/>
      <c r="DG93" s="204"/>
      <c r="DH93" s="204"/>
      <c r="DI93" s="204"/>
      <c r="DJ93" s="204"/>
      <c r="DK93" s="204"/>
      <c r="DL93" s="204"/>
      <c r="DM93" s="204"/>
      <c r="DN93" s="204"/>
      <c r="DO93" s="204"/>
      <c r="DP93" s="204"/>
      <c r="DQ93" s="204"/>
      <c r="DR93" s="204"/>
      <c r="DS93" s="204"/>
      <c r="DT93" s="204"/>
      <c r="DU93" s="204"/>
      <c r="DV93" s="204"/>
      <c r="DW93" s="204"/>
      <c r="DX93" s="204"/>
      <c r="DY93" s="204"/>
      <c r="DZ93" s="204"/>
      <c r="EA93" s="204"/>
      <c r="EB93" s="204"/>
      <c r="EC93" s="204"/>
      <c r="ED93" s="204"/>
      <c r="EE93" s="204"/>
      <c r="EF93" s="204"/>
      <c r="EG93" s="204"/>
      <c r="EH93" s="250">
        <f t="shared" si="27"/>
        <v>5767135.4299999997</v>
      </c>
      <c r="EI93" s="250">
        <f t="shared" si="18"/>
        <v>2033847.56</v>
      </c>
      <c r="EJ93" s="250">
        <f t="shared" si="18"/>
        <v>3733287.8699999996</v>
      </c>
      <c r="EK93" s="204">
        <f t="shared" si="10"/>
        <v>5767135.4299999997</v>
      </c>
      <c r="EL93" s="204">
        <f t="shared" si="24"/>
        <v>0</v>
      </c>
      <c r="EM93" s="382">
        <f t="shared" si="12"/>
        <v>1012356.4400000004</v>
      </c>
      <c r="EN93" s="204">
        <f t="shared" si="13"/>
        <v>2033847.56</v>
      </c>
      <c r="EO93" s="204">
        <f t="shared" si="14"/>
        <v>1012356.4400000004</v>
      </c>
      <c r="EP93" s="204"/>
      <c r="EQ93" s="55">
        <v>44812</v>
      </c>
      <c r="ER93" s="55">
        <v>44926</v>
      </c>
      <c r="ES93" s="18"/>
      <c r="ET93" s="18"/>
      <c r="EU93" s="57" t="s">
        <v>1313</v>
      </c>
      <c r="EV93" s="54">
        <v>44924</v>
      </c>
      <c r="EW93" s="18"/>
      <c r="EX93" s="18"/>
      <c r="EY93" s="331">
        <f t="shared" si="31"/>
        <v>0.85067369953199745</v>
      </c>
      <c r="EZ93" s="332">
        <v>0.8</v>
      </c>
      <c r="FA93" s="336"/>
      <c r="FB93" s="336"/>
      <c r="FC93" s="337">
        <f t="shared" si="25"/>
        <v>0.85067369953199745</v>
      </c>
      <c r="FD93" s="338" t="s">
        <v>307</v>
      </c>
      <c r="FE93" s="47" t="s">
        <v>285</v>
      </c>
      <c r="FF93" s="47"/>
      <c r="FG93" s="47" t="s">
        <v>138</v>
      </c>
      <c r="FH93" s="47" t="s">
        <v>146</v>
      </c>
      <c r="FI93" s="49">
        <v>10000</v>
      </c>
      <c r="FJ93" s="51" t="s">
        <v>1340</v>
      </c>
    </row>
    <row r="94" spans="1:166" ht="163.5" hidden="1" customHeight="1">
      <c r="A94" s="15"/>
      <c r="B94" s="292" t="s">
        <v>812</v>
      </c>
      <c r="C94" s="292" t="s">
        <v>812</v>
      </c>
      <c r="D94" s="125" t="s">
        <v>1169</v>
      </c>
      <c r="E94" s="125" t="s">
        <v>1250</v>
      </c>
      <c r="F94" s="47">
        <v>121749</v>
      </c>
      <c r="G94" s="18" t="s">
        <v>799</v>
      </c>
      <c r="H94" s="19">
        <f>45000000-66443.88</f>
        <v>44933556.119999997</v>
      </c>
      <c r="I94" s="19">
        <f>45000000-66443.88</f>
        <v>44933556.119999997</v>
      </c>
      <c r="J94" s="18" t="s">
        <v>807</v>
      </c>
      <c r="K94" s="18" t="s">
        <v>909</v>
      </c>
      <c r="L94" s="18" t="s">
        <v>930</v>
      </c>
      <c r="M94" s="47" t="s">
        <v>170</v>
      </c>
      <c r="N94" s="18" t="s">
        <v>931</v>
      </c>
      <c r="O94" s="47" t="s">
        <v>932</v>
      </c>
      <c r="P94" s="20" t="s">
        <v>951</v>
      </c>
      <c r="Q94" s="21"/>
      <c r="R94" s="22"/>
      <c r="S94" s="22"/>
      <c r="T94" s="22"/>
      <c r="U94" s="22"/>
      <c r="V94" s="48">
        <v>44803</v>
      </c>
      <c r="W94" s="48">
        <v>44805</v>
      </c>
      <c r="X94" s="23">
        <v>38735824.240000002</v>
      </c>
      <c r="Y94" s="23">
        <f t="shared" si="4"/>
        <v>44933556.1184</v>
      </c>
      <c r="Z94" s="204">
        <v>44933556.119999997</v>
      </c>
      <c r="AA94" s="204">
        <f t="shared" si="30"/>
        <v>0</v>
      </c>
      <c r="AB94" s="204">
        <v>13480066.84</v>
      </c>
      <c r="AC94" s="204">
        <v>13480066.84</v>
      </c>
      <c r="AD94" s="204">
        <v>11871454.210000001</v>
      </c>
      <c r="AE94" s="204">
        <v>3561436.26</v>
      </c>
      <c r="AF94" s="50">
        <f>AD94-AE94</f>
        <v>8310017.9500000011</v>
      </c>
      <c r="AG94" s="249">
        <v>44889</v>
      </c>
      <c r="AH94" s="204">
        <v>9675511.5999999996</v>
      </c>
      <c r="AI94" s="204">
        <v>2902653.48</v>
      </c>
      <c r="AJ94" s="204">
        <f t="shared" si="34"/>
        <v>6772858.1199999992</v>
      </c>
      <c r="AK94" s="249">
        <v>44902</v>
      </c>
      <c r="AL94" s="204">
        <v>7700594.4900000002</v>
      </c>
      <c r="AM94" s="204">
        <v>2310178.35</v>
      </c>
      <c r="AN94" s="204">
        <f t="shared" si="26"/>
        <v>5390416.1400000006</v>
      </c>
      <c r="AO94" s="249">
        <v>44923</v>
      </c>
      <c r="AP94" s="204">
        <v>8411361.2699999996</v>
      </c>
      <c r="AQ94" s="204">
        <v>4705798.75</v>
      </c>
      <c r="AR94" s="204">
        <f t="shared" si="32"/>
        <v>3705562.5199999996</v>
      </c>
      <c r="AS94" s="249">
        <v>44924</v>
      </c>
      <c r="AT94" s="383">
        <v>0</v>
      </c>
      <c r="AU94" s="383">
        <v>0</v>
      </c>
      <c r="AV94" s="383">
        <f>AT94-AU94</f>
        <v>0</v>
      </c>
      <c r="AW94" s="249">
        <v>45007</v>
      </c>
      <c r="AX94" s="204">
        <v>0</v>
      </c>
      <c r="AY94" s="204">
        <v>0</v>
      </c>
      <c r="AZ94" s="204">
        <f>AX94-AY94</f>
        <v>0</v>
      </c>
      <c r="BA94" s="204"/>
      <c r="BB94" s="204"/>
      <c r="BC94" s="204"/>
      <c r="BD94" s="204"/>
      <c r="BE94" s="204"/>
      <c r="BF94" s="204"/>
      <c r="BG94" s="204"/>
      <c r="BH94" s="204"/>
      <c r="BI94" s="204"/>
      <c r="BJ94" s="204"/>
      <c r="BK94" s="204"/>
      <c r="BL94" s="204"/>
      <c r="BM94" s="204"/>
      <c r="BN94" s="204"/>
      <c r="BO94" s="204"/>
      <c r="BP94" s="204"/>
      <c r="BQ94" s="204"/>
      <c r="BR94" s="204"/>
      <c r="BS94" s="204"/>
      <c r="BT94" s="204"/>
      <c r="BU94" s="204"/>
      <c r="BV94" s="204"/>
      <c r="BW94" s="204"/>
      <c r="BX94" s="204"/>
      <c r="BY94" s="204"/>
      <c r="BZ94" s="204"/>
      <c r="CA94" s="204"/>
      <c r="CB94" s="204"/>
      <c r="CC94" s="204"/>
      <c r="CD94" s="204"/>
      <c r="CE94" s="204"/>
      <c r="CF94" s="204"/>
      <c r="CG94" s="204"/>
      <c r="CH94" s="204"/>
      <c r="CI94" s="204"/>
      <c r="CJ94" s="204"/>
      <c r="CK94" s="204"/>
      <c r="CL94" s="204"/>
      <c r="CM94" s="204"/>
      <c r="CN94" s="204"/>
      <c r="CO94" s="204"/>
      <c r="CP94" s="204"/>
      <c r="CQ94" s="204"/>
      <c r="CR94" s="204"/>
      <c r="CS94" s="204"/>
      <c r="CT94" s="204"/>
      <c r="CU94" s="204"/>
      <c r="CV94" s="204"/>
      <c r="CW94" s="204"/>
      <c r="CX94" s="204"/>
      <c r="CY94" s="204"/>
      <c r="CZ94" s="204"/>
      <c r="DA94" s="204"/>
      <c r="DB94" s="204"/>
      <c r="DC94" s="204"/>
      <c r="DD94" s="204"/>
      <c r="DE94" s="204"/>
      <c r="DF94" s="204"/>
      <c r="DG94" s="204"/>
      <c r="DH94" s="204"/>
      <c r="DI94" s="204"/>
      <c r="DJ94" s="204"/>
      <c r="DK94" s="204"/>
      <c r="DL94" s="204"/>
      <c r="DM94" s="204"/>
      <c r="DN94" s="204"/>
      <c r="DO94" s="204"/>
      <c r="DP94" s="204"/>
      <c r="DQ94" s="204"/>
      <c r="DR94" s="204"/>
      <c r="DS94" s="204"/>
      <c r="DT94" s="204"/>
      <c r="DU94" s="204"/>
      <c r="DV94" s="204"/>
      <c r="DW94" s="204"/>
      <c r="DX94" s="204"/>
      <c r="DY94" s="204"/>
      <c r="DZ94" s="204"/>
      <c r="EA94" s="204"/>
      <c r="EB94" s="204"/>
      <c r="EC94" s="204"/>
      <c r="ED94" s="204"/>
      <c r="EE94" s="204"/>
      <c r="EF94" s="204"/>
      <c r="EG94" s="204"/>
      <c r="EH94" s="250">
        <f t="shared" si="27"/>
        <v>37658921.570000008</v>
      </c>
      <c r="EI94" s="250">
        <f>AE94+AI94+AM94+AQ94+AU94+AY94+BC94+BG94+BK94+BO94+BS94+BW94+CA94+CE94+CI94+CM94+CQ94+CU94+CY94+DB94+DE94+DH94+DK94+DN94+DQ94+DT94+DW94+DZ94+EC94+EF94</f>
        <v>13480066.84</v>
      </c>
      <c r="EJ94" s="250">
        <f t="shared" si="18"/>
        <v>24178854.73</v>
      </c>
      <c r="EK94" s="204">
        <f t="shared" si="10"/>
        <v>37658921.570000008</v>
      </c>
      <c r="EL94" s="204">
        <f t="shared" si="24"/>
        <v>0</v>
      </c>
      <c r="EM94" s="382">
        <f t="shared" si="12"/>
        <v>7274634.5499999896</v>
      </c>
      <c r="EN94" s="204">
        <f t="shared" si="13"/>
        <v>13480066.840000007</v>
      </c>
      <c r="EO94" s="204">
        <f t="shared" si="14"/>
        <v>7274634.5499999896</v>
      </c>
      <c r="EP94" s="204"/>
      <c r="EQ94" s="55">
        <v>44806</v>
      </c>
      <c r="ER94" s="55">
        <v>44926</v>
      </c>
      <c r="ES94" s="18"/>
      <c r="ET94" s="18"/>
      <c r="EU94" s="57" t="s">
        <v>1181</v>
      </c>
      <c r="EV94" s="54">
        <v>45009</v>
      </c>
      <c r="EW94" s="18"/>
      <c r="EX94" s="18"/>
      <c r="EY94" s="331">
        <f t="shared" si="31"/>
        <v>0.83810240768453137</v>
      </c>
      <c r="EZ94" s="332">
        <v>0.83809999999999996</v>
      </c>
      <c r="FA94" s="336"/>
      <c r="FB94" s="336"/>
      <c r="FC94" s="337">
        <f t="shared" si="25"/>
        <v>0.83810240768453137</v>
      </c>
      <c r="FD94" s="338" t="s">
        <v>307</v>
      </c>
      <c r="FE94" s="47" t="s">
        <v>811</v>
      </c>
      <c r="FF94" s="47"/>
      <c r="FG94" s="47" t="s">
        <v>145</v>
      </c>
      <c r="FH94" s="47" t="s">
        <v>146</v>
      </c>
      <c r="FI94" s="49">
        <v>32179</v>
      </c>
      <c r="FJ94" s="51" t="s">
        <v>1311</v>
      </c>
    </row>
    <row r="95" spans="1:166" ht="261" hidden="1" customHeight="1">
      <c r="A95" s="15"/>
      <c r="B95" s="292" t="s">
        <v>812</v>
      </c>
      <c r="C95" s="292" t="s">
        <v>812</v>
      </c>
      <c r="D95" s="125" t="s">
        <v>1169</v>
      </c>
      <c r="E95" s="125" t="s">
        <v>1251</v>
      </c>
      <c r="F95" s="47">
        <v>121750</v>
      </c>
      <c r="G95" s="18" t="s">
        <v>800</v>
      </c>
      <c r="H95" s="19">
        <f>13000000-539673.4</f>
        <v>12460326.6</v>
      </c>
      <c r="I95" s="19">
        <f>13000000-539673.4</f>
        <v>12460326.6</v>
      </c>
      <c r="J95" s="18" t="s">
        <v>807</v>
      </c>
      <c r="K95" s="18" t="s">
        <v>650</v>
      </c>
      <c r="L95" s="18" t="s">
        <v>919</v>
      </c>
      <c r="M95" s="47" t="s">
        <v>920</v>
      </c>
      <c r="N95" s="18" t="s">
        <v>921</v>
      </c>
      <c r="O95" s="47" t="s">
        <v>757</v>
      </c>
      <c r="P95" s="207" t="s">
        <v>1040</v>
      </c>
      <c r="Q95" s="21"/>
      <c r="R95" s="22"/>
      <c r="S95" s="22"/>
      <c r="T95" s="22"/>
      <c r="U95" s="22"/>
      <c r="V95" s="48">
        <v>44805</v>
      </c>
      <c r="W95" s="48">
        <v>44809</v>
      </c>
      <c r="X95" s="23">
        <v>10741660.859999999</v>
      </c>
      <c r="Y95" s="23">
        <f t="shared" si="4"/>
        <v>12460326.597599998</v>
      </c>
      <c r="Z95" s="204">
        <v>12460326.6</v>
      </c>
      <c r="AA95" s="204">
        <f t="shared" si="30"/>
        <v>0</v>
      </c>
      <c r="AB95" s="204">
        <v>3738097.98</v>
      </c>
      <c r="AC95" s="204">
        <v>3738097.98</v>
      </c>
      <c r="AD95" s="204">
        <v>2497503.5499999998</v>
      </c>
      <c r="AE95" s="204">
        <v>749251.07</v>
      </c>
      <c r="AF95" s="50">
        <f t="shared" si="33"/>
        <v>1748252.48</v>
      </c>
      <c r="AG95" s="249">
        <v>44852</v>
      </c>
      <c r="AH95" s="204">
        <v>2305099.38</v>
      </c>
      <c r="AI95" s="204">
        <v>1037294.72</v>
      </c>
      <c r="AJ95" s="204">
        <f t="shared" si="34"/>
        <v>1267804.6599999999</v>
      </c>
      <c r="AK95" s="249">
        <v>44890</v>
      </c>
      <c r="AL95" s="204">
        <v>2296485.4</v>
      </c>
      <c r="AM95" s="204">
        <v>1500000</v>
      </c>
      <c r="AN95" s="204">
        <f t="shared" si="26"/>
        <v>796485.39999999991</v>
      </c>
      <c r="AO95" s="249">
        <v>44907</v>
      </c>
      <c r="AP95" s="204">
        <v>561052.32999999996</v>
      </c>
      <c r="AQ95" s="204">
        <v>451552.19</v>
      </c>
      <c r="AR95" s="204">
        <f t="shared" si="32"/>
        <v>109500.13999999996</v>
      </c>
      <c r="AS95" s="204" t="s">
        <v>1160</v>
      </c>
      <c r="AT95" s="204">
        <v>22823.07</v>
      </c>
      <c r="AU95" s="204">
        <v>0</v>
      </c>
      <c r="AV95" s="204">
        <f>AT95-AU95</f>
        <v>22823.07</v>
      </c>
      <c r="AW95" s="204"/>
      <c r="AX95" s="204"/>
      <c r="AY95" s="204"/>
      <c r="AZ95" s="204"/>
      <c r="BA95" s="204"/>
      <c r="BB95" s="204"/>
      <c r="BC95" s="204"/>
      <c r="BD95" s="204"/>
      <c r="BE95" s="204"/>
      <c r="BF95" s="204"/>
      <c r="BG95" s="204"/>
      <c r="BH95" s="204"/>
      <c r="BI95" s="204"/>
      <c r="BJ95" s="204"/>
      <c r="BK95" s="204"/>
      <c r="BL95" s="204"/>
      <c r="BM95" s="204"/>
      <c r="BN95" s="204"/>
      <c r="BO95" s="204"/>
      <c r="BP95" s="204"/>
      <c r="BQ95" s="204"/>
      <c r="BR95" s="204"/>
      <c r="BS95" s="204"/>
      <c r="BT95" s="204"/>
      <c r="BU95" s="204"/>
      <c r="BV95" s="204"/>
      <c r="BW95" s="204"/>
      <c r="BX95" s="204"/>
      <c r="BY95" s="204"/>
      <c r="BZ95" s="204"/>
      <c r="CA95" s="204"/>
      <c r="CB95" s="204"/>
      <c r="CC95" s="204"/>
      <c r="CD95" s="204"/>
      <c r="CE95" s="204"/>
      <c r="CF95" s="204"/>
      <c r="CG95" s="204"/>
      <c r="CH95" s="204"/>
      <c r="CI95" s="204"/>
      <c r="CJ95" s="204"/>
      <c r="CK95" s="204"/>
      <c r="CL95" s="204"/>
      <c r="CM95" s="204"/>
      <c r="CN95" s="204"/>
      <c r="CO95" s="204"/>
      <c r="CP95" s="204"/>
      <c r="CQ95" s="204"/>
      <c r="CR95" s="204"/>
      <c r="CS95" s="204"/>
      <c r="CT95" s="204"/>
      <c r="CU95" s="204"/>
      <c r="CV95" s="204"/>
      <c r="CW95" s="204"/>
      <c r="CX95" s="204"/>
      <c r="CY95" s="204"/>
      <c r="CZ95" s="204"/>
      <c r="DA95" s="204"/>
      <c r="DB95" s="204"/>
      <c r="DC95" s="204"/>
      <c r="DD95" s="204"/>
      <c r="DE95" s="204"/>
      <c r="DF95" s="204"/>
      <c r="DG95" s="204"/>
      <c r="DH95" s="204"/>
      <c r="DI95" s="204"/>
      <c r="DJ95" s="204"/>
      <c r="DK95" s="204"/>
      <c r="DL95" s="204"/>
      <c r="DM95" s="204"/>
      <c r="DN95" s="204"/>
      <c r="DO95" s="204"/>
      <c r="DP95" s="204"/>
      <c r="DQ95" s="204"/>
      <c r="DR95" s="204"/>
      <c r="DS95" s="204"/>
      <c r="DT95" s="204"/>
      <c r="DU95" s="204"/>
      <c r="DV95" s="204"/>
      <c r="DW95" s="204"/>
      <c r="DX95" s="204"/>
      <c r="DY95" s="204"/>
      <c r="DZ95" s="204"/>
      <c r="EA95" s="204"/>
      <c r="EB95" s="204"/>
      <c r="EC95" s="204"/>
      <c r="ED95" s="204"/>
      <c r="EE95" s="204"/>
      <c r="EF95" s="204"/>
      <c r="EG95" s="204"/>
      <c r="EH95" s="250">
        <f t="shared" si="27"/>
        <v>7682963.7300000004</v>
      </c>
      <c r="EI95" s="250">
        <f t="shared" si="18"/>
        <v>3738097.98</v>
      </c>
      <c r="EJ95" s="250">
        <f t="shared" si="18"/>
        <v>3944865.7499999995</v>
      </c>
      <c r="EK95" s="204">
        <f t="shared" si="10"/>
        <v>7682963.7300000004</v>
      </c>
      <c r="EL95" s="204">
        <f t="shared" si="24"/>
        <v>0</v>
      </c>
      <c r="EM95" s="382">
        <f t="shared" si="12"/>
        <v>4777362.8699999992</v>
      </c>
      <c r="EN95" s="204">
        <f t="shared" si="13"/>
        <v>3738097.9800000009</v>
      </c>
      <c r="EO95" s="204">
        <f t="shared" si="14"/>
        <v>4777362.8699999992</v>
      </c>
      <c r="EP95" s="204"/>
      <c r="EQ95" s="55">
        <v>44810</v>
      </c>
      <c r="ER95" s="55">
        <v>44926</v>
      </c>
      <c r="ES95" s="18"/>
      <c r="ET95" s="18"/>
      <c r="EU95" s="57" t="s">
        <v>1105</v>
      </c>
      <c r="EV95" s="54">
        <v>44865</v>
      </c>
      <c r="EW95" s="18"/>
      <c r="EX95" s="18"/>
      <c r="EY95" s="331">
        <f t="shared" si="31"/>
        <v>0.61659408911480706</v>
      </c>
      <c r="EZ95" s="332">
        <v>0.56969999999999998</v>
      </c>
      <c r="FA95" s="336"/>
      <c r="FB95" s="336"/>
      <c r="FC95" s="337">
        <f t="shared" si="25"/>
        <v>0.61659408911480706</v>
      </c>
      <c r="FD95" s="338" t="s">
        <v>307</v>
      </c>
      <c r="FE95" s="47" t="s">
        <v>281</v>
      </c>
      <c r="FF95" s="47"/>
      <c r="FG95" s="47" t="s">
        <v>157</v>
      </c>
      <c r="FH95" s="47" t="s">
        <v>146</v>
      </c>
      <c r="FI95" s="49">
        <v>20239</v>
      </c>
      <c r="FJ95" s="51" t="s">
        <v>1215</v>
      </c>
    </row>
    <row r="96" spans="1:166" ht="163.5" hidden="1" customHeight="1">
      <c r="A96" s="15"/>
      <c r="B96" s="292" t="s">
        <v>812</v>
      </c>
      <c r="C96" s="292" t="s">
        <v>812</v>
      </c>
      <c r="D96" s="125" t="s">
        <v>1169</v>
      </c>
      <c r="E96" s="125" t="s">
        <v>1252</v>
      </c>
      <c r="F96" s="47">
        <v>121751</v>
      </c>
      <c r="G96" s="18" t="s">
        <v>801</v>
      </c>
      <c r="H96" s="19">
        <f>7000000-51506.34</f>
        <v>6948493.6600000001</v>
      </c>
      <c r="I96" s="19">
        <f>7000000-51506.34</f>
        <v>6948493.6600000001</v>
      </c>
      <c r="J96" s="18" t="s">
        <v>807</v>
      </c>
      <c r="K96" s="18" t="s">
        <v>240</v>
      </c>
      <c r="L96" s="18" t="s">
        <v>241</v>
      </c>
      <c r="M96" s="47" t="s">
        <v>242</v>
      </c>
      <c r="N96" s="18" t="s">
        <v>244</v>
      </c>
      <c r="O96" s="47">
        <v>7222041354</v>
      </c>
      <c r="P96" s="20" t="s">
        <v>953</v>
      </c>
      <c r="Q96" s="21"/>
      <c r="R96" s="22"/>
      <c r="S96" s="22"/>
      <c r="T96" s="22"/>
      <c r="U96" s="22"/>
      <c r="V96" s="48">
        <v>44802</v>
      </c>
      <c r="W96" s="48">
        <v>44804</v>
      </c>
      <c r="X96" s="23">
        <v>5990080.7400000002</v>
      </c>
      <c r="Y96" s="23">
        <f t="shared" si="4"/>
        <v>6948493.6584000001</v>
      </c>
      <c r="Z96" s="204">
        <v>6948493.6600000001</v>
      </c>
      <c r="AA96" s="204">
        <f t="shared" si="30"/>
        <v>0</v>
      </c>
      <c r="AB96" s="204">
        <v>2084548.1</v>
      </c>
      <c r="AC96" s="204">
        <v>2084548.1</v>
      </c>
      <c r="AD96" s="204">
        <v>774696.24</v>
      </c>
      <c r="AE96" s="204">
        <v>232408.87</v>
      </c>
      <c r="AF96" s="50">
        <f t="shared" si="33"/>
        <v>542287.37</v>
      </c>
      <c r="AG96" s="249">
        <v>44855</v>
      </c>
      <c r="AH96" s="204">
        <v>1028135.25</v>
      </c>
      <c r="AI96" s="204">
        <v>308440.58</v>
      </c>
      <c r="AJ96" s="204">
        <f t="shared" si="34"/>
        <v>719694.66999999993</v>
      </c>
      <c r="AK96" s="249">
        <v>44880</v>
      </c>
      <c r="AL96" s="204">
        <v>1528262.82</v>
      </c>
      <c r="AM96" s="204">
        <v>764131.41</v>
      </c>
      <c r="AN96" s="204">
        <f t="shared" si="26"/>
        <v>764131.41</v>
      </c>
      <c r="AO96" s="249">
        <v>44889</v>
      </c>
      <c r="AP96" s="204">
        <v>1195782.8400000001</v>
      </c>
      <c r="AQ96" s="204">
        <v>779567.24</v>
      </c>
      <c r="AR96" s="204">
        <f t="shared" si="32"/>
        <v>416215.60000000009</v>
      </c>
      <c r="AS96" s="249">
        <v>44902</v>
      </c>
      <c r="AT96" s="204">
        <v>1055968.1299999999</v>
      </c>
      <c r="AU96" s="204">
        <v>0</v>
      </c>
      <c r="AV96" s="204">
        <f>AT96-AU96</f>
        <v>1055968.1299999999</v>
      </c>
      <c r="AW96" s="249">
        <v>44907</v>
      </c>
      <c r="AX96" s="204">
        <v>834593.03</v>
      </c>
      <c r="AY96" s="204">
        <v>0</v>
      </c>
      <c r="AZ96" s="204">
        <f>AX96-AY96</f>
        <v>834593.03</v>
      </c>
      <c r="BA96" s="249">
        <v>44922</v>
      </c>
      <c r="BB96" s="204">
        <v>283890.71999999997</v>
      </c>
      <c r="BC96" s="204">
        <v>0</v>
      </c>
      <c r="BD96" s="204">
        <f>BB96-BC96</f>
        <v>283890.71999999997</v>
      </c>
      <c r="BE96" s="249">
        <v>44924</v>
      </c>
      <c r="BF96" s="204">
        <v>0</v>
      </c>
      <c r="BG96" s="204">
        <v>0</v>
      </c>
      <c r="BH96" s="204">
        <f>BF96-BG96</f>
        <v>0</v>
      </c>
      <c r="BI96" s="204" t="s">
        <v>1337</v>
      </c>
      <c r="BJ96" s="204"/>
      <c r="BK96" s="204"/>
      <c r="BL96" s="204"/>
      <c r="BM96" s="204"/>
      <c r="BN96" s="204"/>
      <c r="BO96" s="204"/>
      <c r="BP96" s="204"/>
      <c r="BQ96" s="204"/>
      <c r="BR96" s="204"/>
      <c r="BS96" s="204"/>
      <c r="BT96" s="204"/>
      <c r="BU96" s="204"/>
      <c r="BV96" s="204"/>
      <c r="BW96" s="204"/>
      <c r="BX96" s="204"/>
      <c r="BY96" s="204"/>
      <c r="BZ96" s="204"/>
      <c r="CA96" s="204"/>
      <c r="CB96" s="204"/>
      <c r="CC96" s="204"/>
      <c r="CD96" s="204"/>
      <c r="CE96" s="204"/>
      <c r="CF96" s="204"/>
      <c r="CG96" s="204"/>
      <c r="CH96" s="204"/>
      <c r="CI96" s="204"/>
      <c r="CJ96" s="204"/>
      <c r="CK96" s="204"/>
      <c r="CL96" s="204"/>
      <c r="CM96" s="204"/>
      <c r="CN96" s="204"/>
      <c r="CO96" s="204"/>
      <c r="CP96" s="204"/>
      <c r="CQ96" s="204"/>
      <c r="CR96" s="204"/>
      <c r="CS96" s="204"/>
      <c r="CT96" s="204"/>
      <c r="CU96" s="204"/>
      <c r="CV96" s="204"/>
      <c r="CW96" s="204"/>
      <c r="CX96" s="204"/>
      <c r="CY96" s="204"/>
      <c r="CZ96" s="204"/>
      <c r="DA96" s="204"/>
      <c r="DB96" s="204"/>
      <c r="DC96" s="204"/>
      <c r="DD96" s="204"/>
      <c r="DE96" s="204"/>
      <c r="DF96" s="204"/>
      <c r="DG96" s="204"/>
      <c r="DH96" s="204"/>
      <c r="DI96" s="204"/>
      <c r="DJ96" s="204"/>
      <c r="DK96" s="204"/>
      <c r="DL96" s="204"/>
      <c r="DM96" s="204"/>
      <c r="DN96" s="204"/>
      <c r="DO96" s="204"/>
      <c r="DP96" s="204"/>
      <c r="DQ96" s="204"/>
      <c r="DR96" s="204"/>
      <c r="DS96" s="204"/>
      <c r="DT96" s="204"/>
      <c r="DU96" s="204"/>
      <c r="DV96" s="204"/>
      <c r="DW96" s="204"/>
      <c r="DX96" s="204"/>
      <c r="DY96" s="204"/>
      <c r="DZ96" s="204"/>
      <c r="EA96" s="204"/>
      <c r="EB96" s="204"/>
      <c r="EC96" s="204"/>
      <c r="ED96" s="204"/>
      <c r="EE96" s="204"/>
      <c r="EF96" s="204"/>
      <c r="EG96" s="204"/>
      <c r="EH96" s="250">
        <f t="shared" si="27"/>
        <v>6701329.0300000003</v>
      </c>
      <c r="EI96" s="250">
        <f t="shared" si="18"/>
        <v>2084548.0999999999</v>
      </c>
      <c r="EJ96" s="250">
        <f t="shared" si="18"/>
        <v>4616780.93</v>
      </c>
      <c r="EK96" s="204">
        <f t="shared" si="10"/>
        <v>6701329.0300000012</v>
      </c>
      <c r="EL96" s="204">
        <f t="shared" si="24"/>
        <v>0</v>
      </c>
      <c r="EM96" s="382">
        <f t="shared" si="12"/>
        <v>247164.62999999989</v>
      </c>
      <c r="EN96" s="204">
        <f t="shared" si="13"/>
        <v>2084548.1000000006</v>
      </c>
      <c r="EO96" s="204">
        <f t="shared" si="14"/>
        <v>247164.62999999989</v>
      </c>
      <c r="EP96" s="204"/>
      <c r="EQ96" s="55">
        <v>44805</v>
      </c>
      <c r="ER96" s="55">
        <v>44926</v>
      </c>
      <c r="ES96" s="18"/>
      <c r="ET96" s="18"/>
      <c r="EU96" s="19"/>
      <c r="EV96" s="18"/>
      <c r="EW96" s="18"/>
      <c r="EX96" s="18"/>
      <c r="EY96" s="331">
        <f t="shared" si="31"/>
        <v>0.96442903424912962</v>
      </c>
      <c r="EZ96" s="331">
        <v>0.99</v>
      </c>
      <c r="FA96" s="336"/>
      <c r="FB96" s="336"/>
      <c r="FC96" s="337">
        <f t="shared" si="25"/>
        <v>0.96442903424912974</v>
      </c>
      <c r="FD96" s="338" t="s">
        <v>147</v>
      </c>
      <c r="FE96" s="47" t="s">
        <v>809</v>
      </c>
      <c r="FF96" s="47"/>
      <c r="FG96" s="47" t="s">
        <v>161</v>
      </c>
      <c r="FH96" s="47" t="s">
        <v>146</v>
      </c>
      <c r="FI96" s="278">
        <v>4881</v>
      </c>
      <c r="FJ96" s="51" t="s">
        <v>1194</v>
      </c>
    </row>
    <row r="97" spans="1:166" ht="163.5" hidden="1" customHeight="1">
      <c r="A97" s="15"/>
      <c r="B97" s="292" t="s">
        <v>812</v>
      </c>
      <c r="C97" s="292" t="s">
        <v>812</v>
      </c>
      <c r="D97" s="125" t="s">
        <v>1169</v>
      </c>
      <c r="E97" s="125" t="s">
        <v>1253</v>
      </c>
      <c r="F97" s="47">
        <v>121752</v>
      </c>
      <c r="G97" s="18" t="s">
        <v>802</v>
      </c>
      <c r="H97" s="19">
        <f>4000000-12316.15</f>
        <v>3987683.85</v>
      </c>
      <c r="I97" s="19">
        <f>4000000-12316.15</f>
        <v>3987683.85</v>
      </c>
      <c r="J97" s="18" t="s">
        <v>807</v>
      </c>
      <c r="K97" s="18" t="s">
        <v>922</v>
      </c>
      <c r="L97" s="18" t="s">
        <v>1030</v>
      </c>
      <c r="M97" s="47" t="s">
        <v>923</v>
      </c>
      <c r="N97" s="18" t="s">
        <v>924</v>
      </c>
      <c r="O97" s="47">
        <v>5557412559</v>
      </c>
      <c r="P97" s="20" t="s">
        <v>1029</v>
      </c>
      <c r="Q97" s="21"/>
      <c r="R97" s="22"/>
      <c r="S97" s="22"/>
      <c r="T97" s="22"/>
      <c r="U97" s="22"/>
      <c r="V97" s="48">
        <v>44805</v>
      </c>
      <c r="W97" s="48">
        <v>44809</v>
      </c>
      <c r="X97" s="23">
        <v>3437658.49</v>
      </c>
      <c r="Y97" s="23">
        <f t="shared" si="4"/>
        <v>3987683.8484</v>
      </c>
      <c r="Z97" s="204">
        <v>3987683.85</v>
      </c>
      <c r="AA97" s="204">
        <f t="shared" si="30"/>
        <v>0</v>
      </c>
      <c r="AB97" s="204">
        <v>1196305.1499999999</v>
      </c>
      <c r="AC97" s="204">
        <v>1196305.1499999999</v>
      </c>
      <c r="AD97" s="204">
        <v>1285573.6000000001</v>
      </c>
      <c r="AE97" s="204">
        <v>385672.08</v>
      </c>
      <c r="AF97" s="50">
        <f t="shared" si="33"/>
        <v>899901.52</v>
      </c>
      <c r="AG97" s="249">
        <v>44896</v>
      </c>
      <c r="AH97" s="204">
        <v>2111188.56</v>
      </c>
      <c r="AI97" s="204">
        <v>633356.56999999995</v>
      </c>
      <c r="AJ97" s="204">
        <f t="shared" si="34"/>
        <v>1477831.9900000002</v>
      </c>
      <c r="AK97" s="249">
        <v>44904</v>
      </c>
      <c r="AL97" s="204">
        <v>588294.43999999994</v>
      </c>
      <c r="AM97" s="204">
        <v>177276.5</v>
      </c>
      <c r="AN97" s="204">
        <f t="shared" si="26"/>
        <v>411017.93999999994</v>
      </c>
      <c r="AO97" s="249">
        <v>44917</v>
      </c>
      <c r="AP97" s="204"/>
      <c r="AQ97" s="204"/>
      <c r="AR97" s="204">
        <f t="shared" si="32"/>
        <v>0</v>
      </c>
      <c r="AS97" s="204"/>
      <c r="AT97" s="204"/>
      <c r="AU97" s="204"/>
      <c r="AV97" s="204"/>
      <c r="AW97" s="204"/>
      <c r="AX97" s="204"/>
      <c r="AY97" s="204"/>
      <c r="AZ97" s="204"/>
      <c r="BA97" s="204"/>
      <c r="BB97" s="204"/>
      <c r="BC97" s="204"/>
      <c r="BD97" s="204"/>
      <c r="BE97" s="204"/>
      <c r="BF97" s="204"/>
      <c r="BG97" s="204"/>
      <c r="BH97" s="204"/>
      <c r="BI97" s="204"/>
      <c r="BJ97" s="204"/>
      <c r="BK97" s="204"/>
      <c r="BL97" s="204"/>
      <c r="BM97" s="204"/>
      <c r="BN97" s="204"/>
      <c r="BO97" s="204"/>
      <c r="BP97" s="204"/>
      <c r="BQ97" s="204"/>
      <c r="BR97" s="204"/>
      <c r="BS97" s="204"/>
      <c r="BT97" s="204"/>
      <c r="BU97" s="204"/>
      <c r="BV97" s="204"/>
      <c r="BW97" s="204"/>
      <c r="BX97" s="204"/>
      <c r="BY97" s="204"/>
      <c r="BZ97" s="204"/>
      <c r="CA97" s="204"/>
      <c r="CB97" s="204"/>
      <c r="CC97" s="204"/>
      <c r="CD97" s="204"/>
      <c r="CE97" s="204"/>
      <c r="CF97" s="204"/>
      <c r="CG97" s="204"/>
      <c r="CH97" s="204"/>
      <c r="CI97" s="204"/>
      <c r="CJ97" s="204"/>
      <c r="CK97" s="204"/>
      <c r="CL97" s="204"/>
      <c r="CM97" s="204"/>
      <c r="CN97" s="204"/>
      <c r="CO97" s="204"/>
      <c r="CP97" s="204"/>
      <c r="CQ97" s="204"/>
      <c r="CR97" s="204"/>
      <c r="CS97" s="204"/>
      <c r="CT97" s="204"/>
      <c r="CU97" s="204"/>
      <c r="CV97" s="204"/>
      <c r="CW97" s="204"/>
      <c r="CX97" s="204"/>
      <c r="CY97" s="204"/>
      <c r="CZ97" s="204"/>
      <c r="DA97" s="204"/>
      <c r="DB97" s="204"/>
      <c r="DC97" s="204"/>
      <c r="DD97" s="204"/>
      <c r="DE97" s="204"/>
      <c r="DF97" s="204"/>
      <c r="DG97" s="204"/>
      <c r="DH97" s="204"/>
      <c r="DI97" s="204"/>
      <c r="DJ97" s="204"/>
      <c r="DK97" s="204"/>
      <c r="DL97" s="204"/>
      <c r="DM97" s="204"/>
      <c r="DN97" s="204"/>
      <c r="DO97" s="204"/>
      <c r="DP97" s="204"/>
      <c r="DQ97" s="204"/>
      <c r="DR97" s="204"/>
      <c r="DS97" s="204"/>
      <c r="DT97" s="204"/>
      <c r="DU97" s="204"/>
      <c r="DV97" s="204"/>
      <c r="DW97" s="204"/>
      <c r="DX97" s="204"/>
      <c r="DY97" s="204"/>
      <c r="DZ97" s="204"/>
      <c r="EA97" s="204"/>
      <c r="EB97" s="204"/>
      <c r="EC97" s="204"/>
      <c r="ED97" s="204"/>
      <c r="EE97" s="204"/>
      <c r="EF97" s="204"/>
      <c r="EG97" s="204"/>
      <c r="EH97" s="250">
        <f t="shared" si="27"/>
        <v>3985056.6</v>
      </c>
      <c r="EI97" s="250">
        <f t="shared" si="18"/>
        <v>1196305.1499999999</v>
      </c>
      <c r="EJ97" s="250">
        <f t="shared" si="18"/>
        <v>2788751.45</v>
      </c>
      <c r="EK97" s="204">
        <f t="shared" si="10"/>
        <v>3985056.6</v>
      </c>
      <c r="EL97" s="204">
        <f t="shared" si="24"/>
        <v>0</v>
      </c>
      <c r="EM97" s="382">
        <f t="shared" si="12"/>
        <v>2627.25</v>
      </c>
      <c r="EN97" s="204">
        <f t="shared" si="13"/>
        <v>1196305.1499999999</v>
      </c>
      <c r="EO97" s="204">
        <f t="shared" si="14"/>
        <v>2627.25</v>
      </c>
      <c r="EP97" s="204"/>
      <c r="EQ97" s="55">
        <v>44810</v>
      </c>
      <c r="ER97" s="55">
        <v>44926</v>
      </c>
      <c r="ES97" s="18"/>
      <c r="ET97" s="18"/>
      <c r="EU97" s="19"/>
      <c r="EV97" s="18"/>
      <c r="EW97" s="18"/>
      <c r="EX97" s="18"/>
      <c r="EY97" s="331">
        <f t="shared" si="31"/>
        <v>0.99934115890355746</v>
      </c>
      <c r="EZ97" s="331">
        <v>0.99950000000000006</v>
      </c>
      <c r="FA97" s="336"/>
      <c r="FB97" s="336"/>
      <c r="FC97" s="337">
        <f t="shared" si="25"/>
        <v>0.99934115890355746</v>
      </c>
      <c r="FD97" s="344" t="s">
        <v>147</v>
      </c>
      <c r="FE97" s="47" t="s">
        <v>167</v>
      </c>
      <c r="FF97" s="47"/>
      <c r="FG97" s="47" t="s">
        <v>145</v>
      </c>
      <c r="FH97" s="47" t="s">
        <v>169</v>
      </c>
      <c r="FI97" s="49">
        <v>7966</v>
      </c>
      <c r="FJ97" s="51" t="s">
        <v>1194</v>
      </c>
    </row>
    <row r="98" spans="1:166" ht="163.5" hidden="1" customHeight="1">
      <c r="A98" s="15"/>
      <c r="B98" s="292" t="s">
        <v>812</v>
      </c>
      <c r="C98" s="292" t="s">
        <v>812</v>
      </c>
      <c r="D98" s="125" t="s">
        <v>1169</v>
      </c>
      <c r="E98" s="125" t="s">
        <v>1254</v>
      </c>
      <c r="F98" s="47">
        <v>121753</v>
      </c>
      <c r="G98" s="70" t="s">
        <v>803</v>
      </c>
      <c r="H98" s="19">
        <f>20000000-10310.83</f>
        <v>19989689.170000002</v>
      </c>
      <c r="I98" s="19">
        <f>20000000-10310.83</f>
        <v>19989689.170000002</v>
      </c>
      <c r="J98" s="18" t="s">
        <v>807</v>
      </c>
      <c r="K98" s="18" t="s">
        <v>163</v>
      </c>
      <c r="L98" s="18" t="s">
        <v>913</v>
      </c>
      <c r="M98" s="47" t="s">
        <v>164</v>
      </c>
      <c r="N98" s="18" t="s">
        <v>914</v>
      </c>
      <c r="O98" s="47">
        <v>7181271295</v>
      </c>
      <c r="P98" s="20" t="s">
        <v>954</v>
      </c>
      <c r="Q98" s="21"/>
      <c r="R98" s="22"/>
      <c r="S98" s="22"/>
      <c r="T98" s="22"/>
      <c r="U98" s="22"/>
      <c r="V98" s="48">
        <v>44803</v>
      </c>
      <c r="W98" s="48">
        <v>44805</v>
      </c>
      <c r="X98" s="23">
        <v>17232490.66</v>
      </c>
      <c r="Y98" s="23">
        <f t="shared" si="4"/>
        <v>19989689.165599998</v>
      </c>
      <c r="Z98" s="204">
        <v>19989689.170000002</v>
      </c>
      <c r="AA98" s="204">
        <f t="shared" si="30"/>
        <v>0</v>
      </c>
      <c r="AB98" s="204">
        <v>5996906.75</v>
      </c>
      <c r="AC98" s="204">
        <v>5996906.75</v>
      </c>
      <c r="AD98" s="204">
        <v>5905659.7699999996</v>
      </c>
      <c r="AE98" s="204">
        <v>1771697.93</v>
      </c>
      <c r="AF98" s="50">
        <f t="shared" si="33"/>
        <v>4133961.84</v>
      </c>
      <c r="AG98" s="249">
        <v>44852</v>
      </c>
      <c r="AH98" s="204">
        <v>5737502.4800000004</v>
      </c>
      <c r="AI98" s="204">
        <v>1721250.74</v>
      </c>
      <c r="AJ98" s="204">
        <f t="shared" si="34"/>
        <v>4016251.74</v>
      </c>
      <c r="AK98" s="249">
        <v>44888</v>
      </c>
      <c r="AL98" s="204">
        <v>4356090.1399999997</v>
      </c>
      <c r="AM98" s="204">
        <v>1306827.04</v>
      </c>
      <c r="AN98" s="204">
        <f t="shared" si="26"/>
        <v>3049263.0999999996</v>
      </c>
      <c r="AO98" s="249">
        <v>44902</v>
      </c>
      <c r="AP98" s="204">
        <v>3990338.97</v>
      </c>
      <c r="AQ98" s="204">
        <v>1197131.04</v>
      </c>
      <c r="AR98" s="204">
        <f t="shared" si="32"/>
        <v>2793207.93</v>
      </c>
      <c r="AS98" s="249">
        <v>44902</v>
      </c>
      <c r="AT98" s="204">
        <v>28.2</v>
      </c>
      <c r="AU98" s="204">
        <v>0</v>
      </c>
      <c r="AV98" s="204">
        <f>AT98-AU98</f>
        <v>28.2</v>
      </c>
      <c r="AW98" s="204" t="s">
        <v>1186</v>
      </c>
      <c r="AX98" s="204"/>
      <c r="AY98" s="204"/>
      <c r="AZ98" s="204"/>
      <c r="BA98" s="204"/>
      <c r="BB98" s="204"/>
      <c r="BC98" s="204"/>
      <c r="BD98" s="204"/>
      <c r="BE98" s="204"/>
      <c r="BF98" s="204"/>
      <c r="BG98" s="204"/>
      <c r="BH98" s="204"/>
      <c r="BI98" s="204"/>
      <c r="BJ98" s="204"/>
      <c r="BK98" s="204"/>
      <c r="BL98" s="204"/>
      <c r="BM98" s="204"/>
      <c r="BN98" s="204"/>
      <c r="BO98" s="204"/>
      <c r="BP98" s="204"/>
      <c r="BQ98" s="204"/>
      <c r="BR98" s="204"/>
      <c r="BS98" s="204"/>
      <c r="BT98" s="204"/>
      <c r="BU98" s="204"/>
      <c r="BV98" s="204"/>
      <c r="BW98" s="204"/>
      <c r="BX98" s="204"/>
      <c r="BY98" s="204"/>
      <c r="BZ98" s="204"/>
      <c r="CA98" s="204"/>
      <c r="CB98" s="204"/>
      <c r="CC98" s="204"/>
      <c r="CD98" s="204"/>
      <c r="CE98" s="204"/>
      <c r="CF98" s="204"/>
      <c r="CG98" s="204"/>
      <c r="CH98" s="204"/>
      <c r="CI98" s="204"/>
      <c r="CJ98" s="204"/>
      <c r="CK98" s="204"/>
      <c r="CL98" s="204"/>
      <c r="CM98" s="204"/>
      <c r="CN98" s="204"/>
      <c r="CO98" s="204"/>
      <c r="CP98" s="204"/>
      <c r="CQ98" s="204"/>
      <c r="CR98" s="204"/>
      <c r="CS98" s="204"/>
      <c r="CT98" s="204"/>
      <c r="CU98" s="204"/>
      <c r="CV98" s="204"/>
      <c r="CW98" s="204"/>
      <c r="CX98" s="204"/>
      <c r="CY98" s="204"/>
      <c r="CZ98" s="204"/>
      <c r="DA98" s="204"/>
      <c r="DB98" s="204"/>
      <c r="DC98" s="204"/>
      <c r="DD98" s="204"/>
      <c r="DE98" s="204"/>
      <c r="DF98" s="204"/>
      <c r="DG98" s="204"/>
      <c r="DH98" s="204"/>
      <c r="DI98" s="204"/>
      <c r="DJ98" s="204"/>
      <c r="DK98" s="204"/>
      <c r="DL98" s="204"/>
      <c r="DM98" s="204"/>
      <c r="DN98" s="204"/>
      <c r="DO98" s="204"/>
      <c r="DP98" s="204"/>
      <c r="DQ98" s="204"/>
      <c r="DR98" s="204"/>
      <c r="DS98" s="204"/>
      <c r="DT98" s="204"/>
      <c r="DU98" s="204"/>
      <c r="DV98" s="204"/>
      <c r="DW98" s="204"/>
      <c r="DX98" s="204"/>
      <c r="DY98" s="204"/>
      <c r="DZ98" s="204"/>
      <c r="EA98" s="204"/>
      <c r="EB98" s="204"/>
      <c r="EC98" s="204"/>
      <c r="ED98" s="204"/>
      <c r="EE98" s="204"/>
      <c r="EF98" s="204"/>
      <c r="EG98" s="204"/>
      <c r="EH98" s="250">
        <f t="shared" si="27"/>
        <v>19989619.559999999</v>
      </c>
      <c r="EI98" s="250">
        <f t="shared" si="18"/>
        <v>5996906.75</v>
      </c>
      <c r="EJ98" s="250">
        <f t="shared" si="18"/>
        <v>13992712.809999999</v>
      </c>
      <c r="EK98" s="204">
        <f t="shared" si="10"/>
        <v>19989619.559999999</v>
      </c>
      <c r="EL98" s="204">
        <f t="shared" si="24"/>
        <v>0</v>
      </c>
      <c r="EM98" s="382">
        <f t="shared" si="12"/>
        <v>69.610000003129244</v>
      </c>
      <c r="EN98" s="204">
        <f t="shared" si="13"/>
        <v>5996906.75</v>
      </c>
      <c r="EO98" s="204">
        <f t="shared" si="14"/>
        <v>69.610000003129244</v>
      </c>
      <c r="EP98" s="204"/>
      <c r="EQ98" s="55">
        <v>44806</v>
      </c>
      <c r="ER98" s="55">
        <v>44926</v>
      </c>
      <c r="ES98" s="18"/>
      <c r="ET98" s="18"/>
      <c r="EU98" s="19"/>
      <c r="EV98" s="18"/>
      <c r="EW98" s="18"/>
      <c r="EX98" s="47" t="s">
        <v>1349</v>
      </c>
      <c r="EY98" s="331">
        <f t="shared" si="31"/>
        <v>0.99999651770473208</v>
      </c>
      <c r="EZ98" s="332">
        <v>1</v>
      </c>
      <c r="FA98" s="336"/>
      <c r="FB98" s="336"/>
      <c r="FC98" s="337">
        <f t="shared" si="25"/>
        <v>0.99999651770473208</v>
      </c>
      <c r="FD98" s="338" t="s">
        <v>147</v>
      </c>
      <c r="FE98" s="47" t="s">
        <v>191</v>
      </c>
      <c r="FF98" s="47"/>
      <c r="FG98" s="47" t="s">
        <v>154</v>
      </c>
      <c r="FH98" s="47" t="s">
        <v>169</v>
      </c>
      <c r="FI98" s="49">
        <v>1450</v>
      </c>
      <c r="FJ98" s="51" t="s">
        <v>1334</v>
      </c>
    </row>
    <row r="99" spans="1:166" ht="163.5" hidden="1" customHeight="1">
      <c r="A99" s="15"/>
      <c r="B99" s="292" t="s">
        <v>812</v>
      </c>
      <c r="C99" s="292" t="s">
        <v>812</v>
      </c>
      <c r="D99" s="125" t="s">
        <v>1169</v>
      </c>
      <c r="E99" s="125" t="s">
        <v>1255</v>
      </c>
      <c r="F99" s="47">
        <v>121754</v>
      </c>
      <c r="G99" s="18" t="s">
        <v>804</v>
      </c>
      <c r="H99" s="19">
        <f>2500000-199.4</f>
        <v>2499800.6</v>
      </c>
      <c r="I99" s="19">
        <f>2500000-199.4</f>
        <v>2499800.6</v>
      </c>
      <c r="J99" s="18" t="s">
        <v>807</v>
      </c>
      <c r="K99" s="18" t="s">
        <v>1045</v>
      </c>
      <c r="L99" s="18" t="s">
        <v>1046</v>
      </c>
      <c r="M99" s="47" t="s">
        <v>1047</v>
      </c>
      <c r="N99" s="18" t="s">
        <v>1048</v>
      </c>
      <c r="O99" s="47">
        <v>5575980283</v>
      </c>
      <c r="P99" s="207" t="s">
        <v>1081</v>
      </c>
      <c r="Q99" s="21"/>
      <c r="R99" s="22"/>
      <c r="S99" s="22"/>
      <c r="T99" s="22"/>
      <c r="U99" s="22"/>
      <c r="V99" s="48"/>
      <c r="W99" s="48">
        <v>44861</v>
      </c>
      <c r="X99" s="23">
        <v>2155000.52</v>
      </c>
      <c r="Y99" s="23">
        <f t="shared" si="4"/>
        <v>2499800.6031999998</v>
      </c>
      <c r="Z99" s="204">
        <v>2499800.6</v>
      </c>
      <c r="AA99" s="204">
        <f t="shared" si="30"/>
        <v>0</v>
      </c>
      <c r="AB99" s="204">
        <v>749940.18</v>
      </c>
      <c r="AC99" s="204">
        <v>749940.18</v>
      </c>
      <c r="AD99" s="204">
        <v>796564.65</v>
      </c>
      <c r="AE99" s="204">
        <v>238969.4</v>
      </c>
      <c r="AF99" s="50">
        <f t="shared" si="33"/>
        <v>557595.25</v>
      </c>
      <c r="AG99" s="249">
        <v>44907</v>
      </c>
      <c r="AH99" s="204">
        <v>712850.94</v>
      </c>
      <c r="AI99" s="204">
        <v>255485.39</v>
      </c>
      <c r="AJ99" s="204">
        <f t="shared" si="34"/>
        <v>457365.54999999993</v>
      </c>
      <c r="AK99" s="249">
        <v>44910</v>
      </c>
      <c r="AL99" s="204">
        <v>677042</v>
      </c>
      <c r="AM99" s="52">
        <v>255485.39</v>
      </c>
      <c r="AN99" s="52">
        <f t="shared" si="26"/>
        <v>421556.61</v>
      </c>
      <c r="AO99" s="249">
        <v>37611</v>
      </c>
      <c r="AP99" s="204">
        <v>8801.74</v>
      </c>
      <c r="AQ99" s="204">
        <v>0</v>
      </c>
      <c r="AR99" s="204">
        <f t="shared" si="32"/>
        <v>8801.74</v>
      </c>
      <c r="AS99" s="249">
        <v>44924</v>
      </c>
      <c r="AT99" s="204">
        <v>4513.3900000000003</v>
      </c>
      <c r="AU99" s="204">
        <v>0</v>
      </c>
      <c r="AV99" s="204">
        <f>AT99-AU99</f>
        <v>4513.3900000000003</v>
      </c>
      <c r="AW99" s="204" t="s">
        <v>305</v>
      </c>
      <c r="AX99" s="204"/>
      <c r="AY99" s="204"/>
      <c r="AZ99" s="204"/>
      <c r="BA99" s="204"/>
      <c r="BB99" s="204"/>
      <c r="BC99" s="204"/>
      <c r="BD99" s="204"/>
      <c r="BE99" s="204"/>
      <c r="BF99" s="204"/>
      <c r="BG99" s="204"/>
      <c r="BH99" s="204"/>
      <c r="BI99" s="204"/>
      <c r="BJ99" s="204"/>
      <c r="BK99" s="204"/>
      <c r="BL99" s="204"/>
      <c r="BM99" s="204"/>
      <c r="BN99" s="204"/>
      <c r="BO99" s="204"/>
      <c r="BP99" s="204"/>
      <c r="BQ99" s="204"/>
      <c r="BR99" s="204"/>
      <c r="BS99" s="204"/>
      <c r="BT99" s="204"/>
      <c r="BU99" s="204"/>
      <c r="BV99" s="204"/>
      <c r="BW99" s="204"/>
      <c r="BX99" s="204"/>
      <c r="BY99" s="204"/>
      <c r="BZ99" s="204"/>
      <c r="CA99" s="204"/>
      <c r="CB99" s="204"/>
      <c r="CC99" s="204"/>
      <c r="CD99" s="204"/>
      <c r="CE99" s="204"/>
      <c r="CF99" s="204"/>
      <c r="CG99" s="204"/>
      <c r="CH99" s="204"/>
      <c r="CI99" s="204"/>
      <c r="CJ99" s="204"/>
      <c r="CK99" s="204"/>
      <c r="CL99" s="204"/>
      <c r="CM99" s="204"/>
      <c r="CN99" s="204"/>
      <c r="CO99" s="204"/>
      <c r="CP99" s="204"/>
      <c r="CQ99" s="204"/>
      <c r="CR99" s="204"/>
      <c r="CS99" s="204"/>
      <c r="CT99" s="204"/>
      <c r="CU99" s="204"/>
      <c r="CV99" s="204"/>
      <c r="CW99" s="204"/>
      <c r="CX99" s="204"/>
      <c r="CY99" s="204"/>
      <c r="CZ99" s="204"/>
      <c r="DA99" s="204"/>
      <c r="DB99" s="204"/>
      <c r="DC99" s="204"/>
      <c r="DD99" s="204"/>
      <c r="DE99" s="204"/>
      <c r="DF99" s="204"/>
      <c r="DG99" s="204"/>
      <c r="DH99" s="204"/>
      <c r="DI99" s="204"/>
      <c r="DJ99" s="204"/>
      <c r="DK99" s="204"/>
      <c r="DL99" s="204"/>
      <c r="DM99" s="204"/>
      <c r="DN99" s="204"/>
      <c r="DO99" s="204"/>
      <c r="DP99" s="204"/>
      <c r="DQ99" s="204"/>
      <c r="DR99" s="204"/>
      <c r="DS99" s="204"/>
      <c r="DT99" s="204"/>
      <c r="DU99" s="204"/>
      <c r="DV99" s="204"/>
      <c r="DW99" s="204"/>
      <c r="DX99" s="204"/>
      <c r="DY99" s="204"/>
      <c r="DZ99" s="204"/>
      <c r="EA99" s="204"/>
      <c r="EB99" s="204"/>
      <c r="EC99" s="204"/>
      <c r="ED99" s="204"/>
      <c r="EE99" s="204"/>
      <c r="EF99" s="204"/>
      <c r="EG99" s="204"/>
      <c r="EH99" s="250">
        <f t="shared" si="27"/>
        <v>2199772.7200000002</v>
      </c>
      <c r="EI99" s="250">
        <f t="shared" si="18"/>
        <v>749940.18</v>
      </c>
      <c r="EJ99" s="250">
        <f t="shared" si="18"/>
        <v>1449832.5399999998</v>
      </c>
      <c r="EK99" s="204">
        <f t="shared" si="10"/>
        <v>2199772.7200000002</v>
      </c>
      <c r="EL99" s="204">
        <f t="shared" si="24"/>
        <v>0</v>
      </c>
      <c r="EM99" s="382">
        <f t="shared" si="12"/>
        <v>300027.87999999989</v>
      </c>
      <c r="EN99" s="204">
        <f t="shared" si="13"/>
        <v>749940.1800000004</v>
      </c>
      <c r="EO99" s="204">
        <f t="shared" si="14"/>
        <v>300027.87999999989</v>
      </c>
      <c r="EP99" s="204"/>
      <c r="EQ99" s="55">
        <v>44862</v>
      </c>
      <c r="ER99" s="55">
        <v>44924</v>
      </c>
      <c r="ES99" s="18"/>
      <c r="ET99" s="18"/>
      <c r="EU99" s="19"/>
      <c r="EV99" s="18"/>
      <c r="EW99" s="18"/>
      <c r="EX99" s="18"/>
      <c r="EY99" s="331">
        <f t="shared" si="31"/>
        <v>0.87997927514698582</v>
      </c>
      <c r="EZ99" s="331">
        <v>1</v>
      </c>
      <c r="FA99" s="336"/>
      <c r="FB99" s="336"/>
      <c r="FC99" s="337">
        <f t="shared" si="25"/>
        <v>0.87997927514698582</v>
      </c>
      <c r="FD99" s="338" t="s">
        <v>147</v>
      </c>
      <c r="FE99" s="47" t="s">
        <v>178</v>
      </c>
      <c r="FF99" s="47"/>
      <c r="FG99" s="47" t="s">
        <v>154</v>
      </c>
      <c r="FH99" s="47" t="s">
        <v>146</v>
      </c>
      <c r="FI99" s="49">
        <v>1325</v>
      </c>
      <c r="FJ99" s="51" t="s">
        <v>1334</v>
      </c>
    </row>
    <row r="100" spans="1:166" ht="163.5" hidden="1" customHeight="1">
      <c r="A100" s="15"/>
      <c r="B100" s="292" t="s">
        <v>812</v>
      </c>
      <c r="C100" s="292" t="s">
        <v>812</v>
      </c>
      <c r="D100" s="125" t="s">
        <v>1169</v>
      </c>
      <c r="E100" s="125" t="s">
        <v>1256</v>
      </c>
      <c r="F100" s="47">
        <v>121755</v>
      </c>
      <c r="G100" s="18" t="s">
        <v>805</v>
      </c>
      <c r="H100" s="19">
        <f>6500000-5468.11</f>
        <v>6494531.8899999997</v>
      </c>
      <c r="I100" s="19">
        <f>6500000-5468.11</f>
        <v>6494531.8899999997</v>
      </c>
      <c r="J100" s="18" t="s">
        <v>807</v>
      </c>
      <c r="K100" s="18" t="s">
        <v>965</v>
      </c>
      <c r="L100" s="18" t="s">
        <v>966</v>
      </c>
      <c r="M100" s="47" t="s">
        <v>967</v>
      </c>
      <c r="N100" s="18" t="s">
        <v>968</v>
      </c>
      <c r="O100" s="47">
        <v>5525847840</v>
      </c>
      <c r="P100" s="20" t="s">
        <v>1057</v>
      </c>
      <c r="Q100" s="21"/>
      <c r="R100" s="22"/>
      <c r="S100" s="22"/>
      <c r="T100" s="22"/>
      <c r="U100" s="22"/>
      <c r="V100" s="48">
        <v>44812</v>
      </c>
      <c r="W100" s="48">
        <v>44816</v>
      </c>
      <c r="X100" s="23">
        <v>5598734.3899999997</v>
      </c>
      <c r="Y100" s="23">
        <f t="shared" si="4"/>
        <v>6494531.8923999993</v>
      </c>
      <c r="Z100" s="204">
        <v>6494531.8899999997</v>
      </c>
      <c r="AA100" s="204">
        <f t="shared" si="30"/>
        <v>0</v>
      </c>
      <c r="AB100" s="204">
        <v>1948359.57</v>
      </c>
      <c r="AC100" s="204">
        <v>1948359.57</v>
      </c>
      <c r="AD100" s="204">
        <v>2165255.91</v>
      </c>
      <c r="AE100" s="204">
        <v>649576.77</v>
      </c>
      <c r="AF100" s="50">
        <f t="shared" si="33"/>
        <v>1515679.1400000001</v>
      </c>
      <c r="AG100" s="249">
        <v>44872</v>
      </c>
      <c r="AH100" s="204">
        <v>1652584.12</v>
      </c>
      <c r="AI100" s="204">
        <v>826292.06</v>
      </c>
      <c r="AJ100" s="204">
        <f t="shared" si="34"/>
        <v>826292.06</v>
      </c>
      <c r="AK100" s="249">
        <v>44896</v>
      </c>
      <c r="AL100" s="52">
        <v>668819.22</v>
      </c>
      <c r="AM100" s="52">
        <v>334409.61</v>
      </c>
      <c r="AN100" s="204">
        <f t="shared" si="26"/>
        <v>334409.61</v>
      </c>
      <c r="AO100" s="249">
        <v>44902</v>
      </c>
      <c r="AP100" s="204">
        <v>654213.44999999995</v>
      </c>
      <c r="AQ100" s="204">
        <v>138081.13</v>
      </c>
      <c r="AR100" s="204">
        <f t="shared" si="32"/>
        <v>516132.31999999995</v>
      </c>
      <c r="AS100" s="249">
        <v>44911</v>
      </c>
      <c r="AT100" s="204">
        <v>373194.99</v>
      </c>
      <c r="AU100" s="204">
        <v>0</v>
      </c>
      <c r="AV100" s="204">
        <f>AT100-AU100</f>
        <v>373194.99</v>
      </c>
      <c r="AW100" s="249">
        <v>44922</v>
      </c>
      <c r="AX100" s="204">
        <v>0.26</v>
      </c>
      <c r="AY100" s="204">
        <v>0</v>
      </c>
      <c r="AZ100" s="204">
        <f>AX100-AY100</f>
        <v>0.26</v>
      </c>
      <c r="BA100" s="204" t="s">
        <v>305</v>
      </c>
      <c r="BB100" s="204"/>
      <c r="BC100" s="204"/>
      <c r="BD100" s="204"/>
      <c r="BE100" s="204"/>
      <c r="BF100" s="204"/>
      <c r="BG100" s="204"/>
      <c r="BH100" s="204"/>
      <c r="BI100" s="204"/>
      <c r="BJ100" s="204"/>
      <c r="BK100" s="204"/>
      <c r="BL100" s="204"/>
      <c r="BM100" s="204"/>
      <c r="BN100" s="204"/>
      <c r="BO100" s="204"/>
      <c r="BP100" s="204"/>
      <c r="BQ100" s="204"/>
      <c r="BR100" s="204"/>
      <c r="BS100" s="204"/>
      <c r="BT100" s="204"/>
      <c r="BU100" s="204"/>
      <c r="BV100" s="204"/>
      <c r="BW100" s="204"/>
      <c r="BX100" s="204"/>
      <c r="BY100" s="204"/>
      <c r="BZ100" s="204"/>
      <c r="CA100" s="204"/>
      <c r="CB100" s="204"/>
      <c r="CC100" s="204"/>
      <c r="CD100" s="204"/>
      <c r="CE100" s="204"/>
      <c r="CF100" s="204"/>
      <c r="CG100" s="204"/>
      <c r="CH100" s="204"/>
      <c r="CI100" s="204"/>
      <c r="CJ100" s="204"/>
      <c r="CK100" s="204"/>
      <c r="CL100" s="204"/>
      <c r="CM100" s="204"/>
      <c r="CN100" s="204"/>
      <c r="CO100" s="204"/>
      <c r="CP100" s="204"/>
      <c r="CQ100" s="204"/>
      <c r="CR100" s="204"/>
      <c r="CS100" s="204"/>
      <c r="CT100" s="204"/>
      <c r="CU100" s="204"/>
      <c r="CV100" s="204"/>
      <c r="CW100" s="204"/>
      <c r="CX100" s="204"/>
      <c r="CY100" s="204"/>
      <c r="CZ100" s="204"/>
      <c r="DA100" s="204"/>
      <c r="DB100" s="204"/>
      <c r="DC100" s="204"/>
      <c r="DD100" s="204"/>
      <c r="DE100" s="204"/>
      <c r="DF100" s="204"/>
      <c r="DG100" s="204"/>
      <c r="DH100" s="204"/>
      <c r="DI100" s="204"/>
      <c r="DJ100" s="204"/>
      <c r="DK100" s="204"/>
      <c r="DL100" s="204"/>
      <c r="DM100" s="204"/>
      <c r="DN100" s="204"/>
      <c r="DO100" s="204"/>
      <c r="DP100" s="204"/>
      <c r="DQ100" s="204"/>
      <c r="DR100" s="204"/>
      <c r="DS100" s="204"/>
      <c r="DT100" s="204"/>
      <c r="DU100" s="204"/>
      <c r="DV100" s="204"/>
      <c r="DW100" s="204"/>
      <c r="DX100" s="204"/>
      <c r="DY100" s="204"/>
      <c r="DZ100" s="204"/>
      <c r="EA100" s="204"/>
      <c r="EB100" s="204"/>
      <c r="EC100" s="204"/>
      <c r="ED100" s="204"/>
      <c r="EE100" s="204"/>
      <c r="EF100" s="204"/>
      <c r="EG100" s="204"/>
      <c r="EH100" s="250">
        <f t="shared" si="27"/>
        <v>5514067.9500000002</v>
      </c>
      <c r="EI100" s="250">
        <f t="shared" si="18"/>
        <v>1948359.5699999998</v>
      </c>
      <c r="EJ100" s="250">
        <f t="shared" si="18"/>
        <v>3565708.38</v>
      </c>
      <c r="EK100" s="204">
        <f t="shared" si="10"/>
        <v>5514067.9500000011</v>
      </c>
      <c r="EL100" s="204">
        <f t="shared" si="24"/>
        <v>0</v>
      </c>
      <c r="EM100" s="382">
        <f t="shared" si="12"/>
        <v>980463.93999999948</v>
      </c>
      <c r="EN100" s="204">
        <f t="shared" si="13"/>
        <v>1948359.5700000003</v>
      </c>
      <c r="EO100" s="204">
        <f t="shared" si="14"/>
        <v>980463.93999999948</v>
      </c>
      <c r="EP100" s="204"/>
      <c r="EQ100" s="55">
        <v>44817</v>
      </c>
      <c r="ER100" s="55">
        <v>44906</v>
      </c>
      <c r="ES100" s="18"/>
      <c r="ET100" s="18"/>
      <c r="EU100" s="19"/>
      <c r="EV100" s="18"/>
      <c r="EW100" s="18"/>
      <c r="EX100" s="18"/>
      <c r="EY100" s="331">
        <f t="shared" si="31"/>
        <v>0.84903239269489528</v>
      </c>
      <c r="EZ100" s="331">
        <v>1</v>
      </c>
      <c r="FA100" s="336"/>
      <c r="FB100" s="336"/>
      <c r="FC100" s="337">
        <f t="shared" si="25"/>
        <v>0.84903239269489539</v>
      </c>
      <c r="FD100" s="338" t="s">
        <v>147</v>
      </c>
      <c r="FE100" s="47" t="s">
        <v>178</v>
      </c>
      <c r="FF100" s="47"/>
      <c r="FG100" s="47" t="s">
        <v>154</v>
      </c>
      <c r="FH100" s="47" t="s">
        <v>146</v>
      </c>
      <c r="FI100" s="49">
        <v>702</v>
      </c>
      <c r="FJ100" s="51" t="s">
        <v>1335</v>
      </c>
    </row>
    <row r="101" spans="1:166" ht="162.75" hidden="1" customHeight="1">
      <c r="A101" s="15"/>
      <c r="B101" s="292" t="s">
        <v>812</v>
      </c>
      <c r="C101" s="292" t="s">
        <v>812</v>
      </c>
      <c r="D101" s="125" t="s">
        <v>1169</v>
      </c>
      <c r="E101" s="125" t="s">
        <v>1257</v>
      </c>
      <c r="F101" s="47">
        <v>121756</v>
      </c>
      <c r="G101" s="18" t="s">
        <v>806</v>
      </c>
      <c r="H101" s="19">
        <f>1000000-28.83</f>
        <v>999971.17</v>
      </c>
      <c r="I101" s="19">
        <f>1000000-28.83</f>
        <v>999971.17</v>
      </c>
      <c r="J101" s="18" t="s">
        <v>807</v>
      </c>
      <c r="K101" s="18" t="s">
        <v>910</v>
      </c>
      <c r="L101" s="18" t="s">
        <v>915</v>
      </c>
      <c r="M101" s="47" t="s">
        <v>916</v>
      </c>
      <c r="N101" s="18" t="s">
        <v>917</v>
      </c>
      <c r="O101" s="47">
        <v>5581165866</v>
      </c>
      <c r="P101" s="20" t="s">
        <v>950</v>
      </c>
      <c r="Q101" s="21"/>
      <c r="R101" s="22"/>
      <c r="S101" s="22"/>
      <c r="T101" s="22"/>
      <c r="U101" s="22"/>
      <c r="V101" s="48">
        <v>44811</v>
      </c>
      <c r="W101" s="48">
        <v>44813</v>
      </c>
      <c r="X101" s="23">
        <v>862044.11</v>
      </c>
      <c r="Y101" s="23">
        <f t="shared" si="4"/>
        <v>999971.16759999993</v>
      </c>
      <c r="Z101" s="204">
        <v>999971.17</v>
      </c>
      <c r="AA101" s="204">
        <f t="shared" si="30"/>
        <v>0</v>
      </c>
      <c r="AB101" s="204">
        <v>299991.34999999998</v>
      </c>
      <c r="AC101" s="204">
        <v>299991.34999999998</v>
      </c>
      <c r="AD101" s="204">
        <v>966987.3</v>
      </c>
      <c r="AE101" s="204">
        <v>299991.34999999998</v>
      </c>
      <c r="AF101" s="50">
        <f t="shared" si="33"/>
        <v>666995.95000000007</v>
      </c>
      <c r="AG101" s="249">
        <v>44904</v>
      </c>
      <c r="AH101" s="204">
        <v>0</v>
      </c>
      <c r="AI101" s="204">
        <v>0</v>
      </c>
      <c r="AJ101" s="204">
        <f t="shared" si="34"/>
        <v>0</v>
      </c>
      <c r="AK101" s="249"/>
      <c r="AL101" s="204"/>
      <c r="AM101" s="204"/>
      <c r="AN101" s="204">
        <f t="shared" si="26"/>
        <v>0</v>
      </c>
      <c r="AO101" s="249"/>
      <c r="AP101" s="204"/>
      <c r="AQ101" s="204"/>
      <c r="AR101" s="204">
        <f t="shared" si="32"/>
        <v>0</v>
      </c>
      <c r="AS101" s="204"/>
      <c r="AT101" s="204"/>
      <c r="AU101" s="204"/>
      <c r="AV101" s="204"/>
      <c r="AW101" s="204"/>
      <c r="AX101" s="204"/>
      <c r="AY101" s="204"/>
      <c r="AZ101" s="204"/>
      <c r="BA101" s="204"/>
      <c r="BB101" s="204"/>
      <c r="BC101" s="204"/>
      <c r="BD101" s="204"/>
      <c r="BE101" s="204"/>
      <c r="BF101" s="204"/>
      <c r="BG101" s="204"/>
      <c r="BH101" s="204"/>
      <c r="BI101" s="204"/>
      <c r="BJ101" s="204"/>
      <c r="BK101" s="204"/>
      <c r="BL101" s="204"/>
      <c r="BM101" s="204"/>
      <c r="BN101" s="204"/>
      <c r="BO101" s="204"/>
      <c r="BP101" s="204"/>
      <c r="BQ101" s="204"/>
      <c r="BR101" s="204"/>
      <c r="BS101" s="204"/>
      <c r="BT101" s="204"/>
      <c r="BU101" s="204"/>
      <c r="BV101" s="204"/>
      <c r="BW101" s="204"/>
      <c r="BX101" s="204"/>
      <c r="BY101" s="204"/>
      <c r="BZ101" s="204"/>
      <c r="CA101" s="204"/>
      <c r="CB101" s="204"/>
      <c r="CC101" s="204"/>
      <c r="CD101" s="204"/>
      <c r="CE101" s="204"/>
      <c r="CF101" s="204"/>
      <c r="CG101" s="204"/>
      <c r="CH101" s="204"/>
      <c r="CI101" s="204"/>
      <c r="CJ101" s="204"/>
      <c r="CK101" s="204"/>
      <c r="CL101" s="204"/>
      <c r="CM101" s="204"/>
      <c r="CN101" s="204"/>
      <c r="CO101" s="204"/>
      <c r="CP101" s="204"/>
      <c r="CQ101" s="204"/>
      <c r="CR101" s="204"/>
      <c r="CS101" s="204"/>
      <c r="CT101" s="204"/>
      <c r="CU101" s="204"/>
      <c r="CV101" s="204"/>
      <c r="CW101" s="204"/>
      <c r="CX101" s="204"/>
      <c r="CY101" s="204"/>
      <c r="CZ101" s="204"/>
      <c r="DA101" s="204"/>
      <c r="DB101" s="204"/>
      <c r="DC101" s="204"/>
      <c r="DD101" s="204"/>
      <c r="DE101" s="204"/>
      <c r="DF101" s="204"/>
      <c r="DG101" s="204"/>
      <c r="DH101" s="204"/>
      <c r="DI101" s="204"/>
      <c r="DJ101" s="204"/>
      <c r="DK101" s="204"/>
      <c r="DL101" s="204"/>
      <c r="DM101" s="204"/>
      <c r="DN101" s="204"/>
      <c r="DO101" s="204"/>
      <c r="DP101" s="204"/>
      <c r="DQ101" s="204"/>
      <c r="DR101" s="204"/>
      <c r="DS101" s="204"/>
      <c r="DT101" s="204"/>
      <c r="DU101" s="204"/>
      <c r="DV101" s="204"/>
      <c r="DW101" s="204"/>
      <c r="DX101" s="204"/>
      <c r="DY101" s="204"/>
      <c r="DZ101" s="204"/>
      <c r="EA101" s="204"/>
      <c r="EB101" s="204"/>
      <c r="EC101" s="204"/>
      <c r="ED101" s="204"/>
      <c r="EE101" s="204"/>
      <c r="EF101" s="204"/>
      <c r="EG101" s="204"/>
      <c r="EH101" s="250">
        <f t="shared" si="27"/>
        <v>966987.3</v>
      </c>
      <c r="EI101" s="250">
        <f t="shared" si="18"/>
        <v>299991.34999999998</v>
      </c>
      <c r="EJ101" s="250">
        <f t="shared" si="18"/>
        <v>666995.95000000007</v>
      </c>
      <c r="EK101" s="204">
        <f t="shared" si="10"/>
        <v>966987.29999999993</v>
      </c>
      <c r="EL101" s="204">
        <f t="shared" si="24"/>
        <v>0</v>
      </c>
      <c r="EM101" s="382">
        <f t="shared" si="12"/>
        <v>32983.869999999995</v>
      </c>
      <c r="EN101" s="204">
        <f t="shared" si="13"/>
        <v>299991.34999999998</v>
      </c>
      <c r="EO101" s="204">
        <f t="shared" si="14"/>
        <v>32983.869999999995</v>
      </c>
      <c r="EP101" s="204"/>
      <c r="EQ101" s="55">
        <v>44814</v>
      </c>
      <c r="ER101" s="55">
        <v>44903</v>
      </c>
      <c r="ES101" s="18"/>
      <c r="ET101" s="18"/>
      <c r="EU101" s="19"/>
      <c r="EV101" s="18"/>
      <c r="EW101" s="18"/>
      <c r="EX101" s="47" t="s">
        <v>1377</v>
      </c>
      <c r="EY101" s="331">
        <f t="shared" si="31"/>
        <v>0.96701517904761192</v>
      </c>
      <c r="EZ101" s="331">
        <v>1</v>
      </c>
      <c r="FA101" s="336">
        <v>0</v>
      </c>
      <c r="FB101" s="336">
        <f t="shared" si="16"/>
        <v>-1</v>
      </c>
      <c r="FC101" s="337">
        <f t="shared" si="25"/>
        <v>0.96701517904761181</v>
      </c>
      <c r="FD101" s="338" t="s">
        <v>147</v>
      </c>
      <c r="FE101" s="47" t="s">
        <v>178</v>
      </c>
      <c r="FF101" s="47"/>
      <c r="FG101" s="47" t="s">
        <v>154</v>
      </c>
      <c r="FH101" s="47" t="s">
        <v>146</v>
      </c>
      <c r="FI101" s="25">
        <v>1325</v>
      </c>
      <c r="FJ101" s="51" t="s">
        <v>1278</v>
      </c>
    </row>
    <row r="102" spans="1:166" ht="184.5" hidden="1" customHeight="1">
      <c r="A102" s="207">
        <v>6</v>
      </c>
      <c r="B102" s="304" t="s">
        <v>1322</v>
      </c>
      <c r="C102" s="304" t="s">
        <v>1323</v>
      </c>
      <c r="D102" s="304" t="s">
        <v>1325</v>
      </c>
      <c r="E102" s="300"/>
      <c r="F102" s="20">
        <v>122137</v>
      </c>
      <c r="G102" s="70" t="s">
        <v>1080</v>
      </c>
      <c r="H102" s="311">
        <f>28750000+86250000</f>
        <v>115000000</v>
      </c>
      <c r="I102" s="311">
        <v>115000000</v>
      </c>
      <c r="J102" s="70" t="s">
        <v>1031</v>
      </c>
      <c r="K102" s="70" t="s">
        <v>763</v>
      </c>
      <c r="L102" s="70" t="s">
        <v>308</v>
      </c>
      <c r="M102" s="20" t="s">
        <v>764</v>
      </c>
      <c r="N102" s="70" t="s">
        <v>765</v>
      </c>
      <c r="O102" s="20">
        <v>5558393372</v>
      </c>
      <c r="P102" s="20" t="s">
        <v>1075</v>
      </c>
      <c r="Q102" s="71"/>
      <c r="R102" s="72"/>
      <c r="S102" s="72"/>
      <c r="T102" s="72"/>
      <c r="U102" s="72"/>
      <c r="V102" s="73">
        <v>44874</v>
      </c>
      <c r="W102" s="73">
        <v>44876</v>
      </c>
      <c r="X102" s="303">
        <v>99120700.079999998</v>
      </c>
      <c r="Y102" s="303">
        <f t="shared" si="4"/>
        <v>114980012.09279999</v>
      </c>
      <c r="Z102" s="250">
        <v>114980012.09</v>
      </c>
      <c r="AA102" s="204">
        <f t="shared" si="30"/>
        <v>19987.909999996424</v>
      </c>
      <c r="AB102" s="250">
        <v>57490006.039999999</v>
      </c>
      <c r="AC102" s="250">
        <v>57490006.039999999</v>
      </c>
      <c r="AD102" s="250">
        <v>43174610.289999999</v>
      </c>
      <c r="AE102" s="250">
        <v>21587305.149999999</v>
      </c>
      <c r="AF102" s="308">
        <f t="shared" si="33"/>
        <v>21587305.140000001</v>
      </c>
      <c r="AG102" s="309"/>
      <c r="AH102" s="204">
        <v>4028518.55</v>
      </c>
      <c r="AI102" s="204">
        <v>2014259.28</v>
      </c>
      <c r="AJ102" s="250">
        <f>AH102-AI102</f>
        <v>2014259.2699999998</v>
      </c>
      <c r="AK102" s="309"/>
      <c r="AL102" s="250"/>
      <c r="AM102" s="250"/>
      <c r="AN102" s="250"/>
      <c r="AO102" s="309"/>
      <c r="AP102" s="250"/>
      <c r="AQ102" s="250"/>
      <c r="AR102" s="250"/>
      <c r="AS102" s="250"/>
      <c r="AT102" s="250"/>
      <c r="AU102" s="250"/>
      <c r="AV102" s="250"/>
      <c r="AW102" s="250"/>
      <c r="AX102" s="250"/>
      <c r="AY102" s="250"/>
      <c r="AZ102" s="250"/>
      <c r="BA102" s="250"/>
      <c r="BB102" s="250"/>
      <c r="BC102" s="250"/>
      <c r="BD102" s="250"/>
      <c r="BE102" s="250"/>
      <c r="BF102" s="250"/>
      <c r="BG102" s="250"/>
      <c r="BH102" s="250"/>
      <c r="BI102" s="250"/>
      <c r="BJ102" s="250"/>
      <c r="BK102" s="250"/>
      <c r="BL102" s="250"/>
      <c r="BM102" s="250"/>
      <c r="BN102" s="250"/>
      <c r="BO102" s="250"/>
      <c r="BP102" s="250"/>
      <c r="BQ102" s="250"/>
      <c r="BR102" s="250"/>
      <c r="BS102" s="250"/>
      <c r="BT102" s="250"/>
      <c r="BU102" s="250"/>
      <c r="BV102" s="250"/>
      <c r="BW102" s="250"/>
      <c r="BX102" s="250"/>
      <c r="BY102" s="250"/>
      <c r="BZ102" s="250"/>
      <c r="CA102" s="250"/>
      <c r="CB102" s="250"/>
      <c r="CC102" s="250"/>
      <c r="CD102" s="250"/>
      <c r="CE102" s="250"/>
      <c r="CF102" s="250"/>
      <c r="CG102" s="250"/>
      <c r="CH102" s="250"/>
      <c r="CI102" s="250"/>
      <c r="CJ102" s="250"/>
      <c r="CK102" s="250"/>
      <c r="CL102" s="250"/>
      <c r="CM102" s="250"/>
      <c r="CN102" s="250"/>
      <c r="CO102" s="250"/>
      <c r="CP102" s="250"/>
      <c r="CQ102" s="250"/>
      <c r="CR102" s="250"/>
      <c r="CS102" s="250"/>
      <c r="CT102" s="250"/>
      <c r="CU102" s="250"/>
      <c r="CV102" s="250"/>
      <c r="CW102" s="250"/>
      <c r="CX102" s="250"/>
      <c r="CY102" s="250"/>
      <c r="CZ102" s="250"/>
      <c r="DA102" s="250"/>
      <c r="DB102" s="250"/>
      <c r="DC102" s="250"/>
      <c r="DD102" s="250"/>
      <c r="DE102" s="250"/>
      <c r="DF102" s="250"/>
      <c r="DG102" s="250"/>
      <c r="DH102" s="250"/>
      <c r="DI102" s="250"/>
      <c r="DJ102" s="250"/>
      <c r="DK102" s="250"/>
      <c r="DL102" s="250"/>
      <c r="DM102" s="250"/>
      <c r="DN102" s="250"/>
      <c r="DO102" s="250"/>
      <c r="DP102" s="250"/>
      <c r="DQ102" s="250"/>
      <c r="DR102" s="250"/>
      <c r="DS102" s="250"/>
      <c r="DT102" s="250"/>
      <c r="DU102" s="250"/>
      <c r="DV102" s="250"/>
      <c r="DW102" s="250"/>
      <c r="DX102" s="250"/>
      <c r="DY102" s="250"/>
      <c r="DZ102" s="250"/>
      <c r="EA102" s="250"/>
      <c r="EB102" s="250"/>
      <c r="EC102" s="250"/>
      <c r="ED102" s="250"/>
      <c r="EE102" s="250"/>
      <c r="EF102" s="250"/>
      <c r="EG102" s="250"/>
      <c r="EH102" s="250">
        <f t="shared" si="27"/>
        <v>47203128.839999996</v>
      </c>
      <c r="EI102" s="250">
        <f t="shared" si="18"/>
        <v>23601564.43</v>
      </c>
      <c r="EJ102" s="250">
        <f t="shared" si="18"/>
        <v>23601564.41</v>
      </c>
      <c r="EK102" s="204">
        <f t="shared" si="10"/>
        <v>81091570.449999988</v>
      </c>
      <c r="EL102" s="204">
        <f t="shared" si="24"/>
        <v>33888441.609999999</v>
      </c>
      <c r="EM102" s="250">
        <f t="shared" si="12"/>
        <v>67776883.25</v>
      </c>
      <c r="EN102" s="204">
        <f t="shared" si="13"/>
        <v>23601564.429999996</v>
      </c>
      <c r="EO102" s="204">
        <f t="shared" si="14"/>
        <v>67796871.159999996</v>
      </c>
      <c r="EP102" s="250"/>
      <c r="EQ102" s="310">
        <v>44877</v>
      </c>
      <c r="ER102" s="433">
        <v>45260</v>
      </c>
      <c r="ES102" s="70"/>
      <c r="ET102" s="20" t="s">
        <v>1401</v>
      </c>
      <c r="EU102" s="354" t="s">
        <v>1393</v>
      </c>
      <c r="EV102" s="70"/>
      <c r="EW102" s="70"/>
      <c r="EX102" s="70"/>
      <c r="EY102" s="331">
        <f t="shared" si="31"/>
        <v>0.41053334385677392</v>
      </c>
      <c r="EZ102" s="408">
        <v>0.7</v>
      </c>
      <c r="FA102" s="346"/>
      <c r="FB102" s="346"/>
      <c r="FC102" s="369">
        <f t="shared" si="25"/>
        <v>0.70526667179792946</v>
      </c>
      <c r="FD102" s="344" t="s">
        <v>149</v>
      </c>
      <c r="FE102" s="20" t="s">
        <v>204</v>
      </c>
      <c r="FF102" s="20"/>
      <c r="FG102" s="20" t="s">
        <v>145</v>
      </c>
      <c r="FH102" s="20" t="s">
        <v>169</v>
      </c>
      <c r="FI102" s="74">
        <v>413000</v>
      </c>
      <c r="FJ102" s="317" t="s">
        <v>1402</v>
      </c>
    </row>
    <row r="103" spans="1:166" ht="147" hidden="1" customHeight="1">
      <c r="A103" s="299">
        <v>33</v>
      </c>
      <c r="B103" s="304" t="s">
        <v>1324</v>
      </c>
      <c r="C103" s="304" t="s">
        <v>1323</v>
      </c>
      <c r="D103" s="304" t="s">
        <v>1325</v>
      </c>
      <c r="E103" s="300"/>
      <c r="F103" s="290">
        <v>122138</v>
      </c>
      <c r="G103" s="301" t="s">
        <v>1032</v>
      </c>
      <c r="H103" s="311">
        <f>16000000+24000000</f>
        <v>40000000</v>
      </c>
      <c r="I103" s="311">
        <v>40000000</v>
      </c>
      <c r="J103" s="301" t="s">
        <v>1031</v>
      </c>
      <c r="K103" s="301" t="s">
        <v>1071</v>
      </c>
      <c r="L103" s="301" t="s">
        <v>930</v>
      </c>
      <c r="M103" s="290" t="s">
        <v>1072</v>
      </c>
      <c r="N103" s="301" t="s">
        <v>931</v>
      </c>
      <c r="O103" s="290" t="s">
        <v>1073</v>
      </c>
      <c r="P103" s="290" t="s">
        <v>1074</v>
      </c>
      <c r="Q103" s="319"/>
      <c r="R103" s="320"/>
      <c r="S103" s="320"/>
      <c r="T103" s="320"/>
      <c r="U103" s="320"/>
      <c r="V103" s="321">
        <v>44874</v>
      </c>
      <c r="W103" s="321">
        <v>44876</v>
      </c>
      <c r="X103" s="428">
        <f>34422143.06-3577917.97</f>
        <v>30844225.090000004</v>
      </c>
      <c r="Y103" s="428">
        <f t="shared" ref="Y103:Y109" si="35">X103*1.16</f>
        <v>35779301.104400001</v>
      </c>
      <c r="Z103" s="428">
        <v>35779301.100000001</v>
      </c>
      <c r="AA103" s="204">
        <f t="shared" si="30"/>
        <v>4220698.8999999985</v>
      </c>
      <c r="AB103" s="323">
        <v>19964842.98</v>
      </c>
      <c r="AC103" s="323">
        <v>19964842.98</v>
      </c>
      <c r="AD103" s="323">
        <v>22700038.129999999</v>
      </c>
      <c r="AE103" s="323">
        <v>11350019.07</v>
      </c>
      <c r="AF103" s="324">
        <f t="shared" si="33"/>
        <v>11350019.059999999</v>
      </c>
      <c r="AG103" s="325">
        <v>45029</v>
      </c>
      <c r="AH103" s="204">
        <v>10231781.939999999</v>
      </c>
      <c r="AI103" s="204">
        <v>8614823.9100000001</v>
      </c>
      <c r="AJ103" s="323">
        <f>AH103-AI103</f>
        <v>1616958.0299999993</v>
      </c>
      <c r="AK103" s="325"/>
      <c r="AL103" s="323">
        <v>2847481.03</v>
      </c>
      <c r="AM103" s="323">
        <v>0</v>
      </c>
      <c r="AN103" s="323">
        <f>AL103-AM103</f>
        <v>2847481.03</v>
      </c>
      <c r="AO103" s="325" t="s">
        <v>305</v>
      </c>
      <c r="AP103" s="323">
        <v>0</v>
      </c>
      <c r="AQ103" s="323">
        <v>0</v>
      </c>
      <c r="AR103" s="323">
        <v>0</v>
      </c>
      <c r="AS103" s="323" t="s">
        <v>1400</v>
      </c>
      <c r="AT103" s="323"/>
      <c r="AU103" s="323"/>
      <c r="AV103" s="323"/>
      <c r="AW103" s="323"/>
      <c r="AX103" s="323"/>
      <c r="AY103" s="323"/>
      <c r="AZ103" s="323"/>
      <c r="BA103" s="323"/>
      <c r="BB103" s="323"/>
      <c r="BC103" s="323"/>
      <c r="BD103" s="323"/>
      <c r="BE103" s="323"/>
      <c r="BF103" s="323"/>
      <c r="BG103" s="323"/>
      <c r="BH103" s="323"/>
      <c r="BI103" s="323"/>
      <c r="BJ103" s="323"/>
      <c r="BK103" s="323"/>
      <c r="BL103" s="323"/>
      <c r="BM103" s="323"/>
      <c r="BN103" s="323"/>
      <c r="BO103" s="323"/>
      <c r="BP103" s="323"/>
      <c r="BQ103" s="323"/>
      <c r="BR103" s="323"/>
      <c r="BS103" s="323"/>
      <c r="BT103" s="323"/>
      <c r="BU103" s="323"/>
      <c r="BV103" s="323"/>
      <c r="BW103" s="323"/>
      <c r="BX103" s="323"/>
      <c r="BY103" s="323"/>
      <c r="BZ103" s="323"/>
      <c r="CA103" s="323"/>
      <c r="CB103" s="323"/>
      <c r="CC103" s="323"/>
      <c r="CD103" s="323"/>
      <c r="CE103" s="323"/>
      <c r="CF103" s="323"/>
      <c r="CG103" s="323"/>
      <c r="CH103" s="323"/>
      <c r="CI103" s="323"/>
      <c r="CJ103" s="323"/>
      <c r="CK103" s="323"/>
      <c r="CL103" s="323"/>
      <c r="CM103" s="323"/>
      <c r="CN103" s="323"/>
      <c r="CO103" s="323"/>
      <c r="CP103" s="323"/>
      <c r="CQ103" s="323"/>
      <c r="CR103" s="323"/>
      <c r="CS103" s="323"/>
      <c r="CT103" s="323"/>
      <c r="CU103" s="323"/>
      <c r="CV103" s="323"/>
      <c r="CW103" s="323"/>
      <c r="CX103" s="323"/>
      <c r="CY103" s="323"/>
      <c r="CZ103" s="323"/>
      <c r="DA103" s="323"/>
      <c r="DB103" s="323"/>
      <c r="DC103" s="323"/>
      <c r="DD103" s="323"/>
      <c r="DE103" s="323"/>
      <c r="DF103" s="323"/>
      <c r="DG103" s="323"/>
      <c r="DH103" s="323"/>
      <c r="DI103" s="323"/>
      <c r="DJ103" s="323"/>
      <c r="DK103" s="323"/>
      <c r="DL103" s="323"/>
      <c r="DM103" s="323"/>
      <c r="DN103" s="323"/>
      <c r="DO103" s="323"/>
      <c r="DP103" s="323"/>
      <c r="DQ103" s="323"/>
      <c r="DR103" s="323"/>
      <c r="DS103" s="323"/>
      <c r="DT103" s="323"/>
      <c r="DU103" s="323"/>
      <c r="DV103" s="323"/>
      <c r="DW103" s="323"/>
      <c r="DX103" s="323"/>
      <c r="DY103" s="323"/>
      <c r="DZ103" s="323"/>
      <c r="EA103" s="323"/>
      <c r="EB103" s="323"/>
      <c r="EC103" s="323"/>
      <c r="ED103" s="323"/>
      <c r="EE103" s="323"/>
      <c r="EF103" s="323"/>
      <c r="EG103" s="323"/>
      <c r="EH103" s="250">
        <f t="shared" si="27"/>
        <v>35779301.100000001</v>
      </c>
      <c r="EI103" s="250">
        <f t="shared" si="18"/>
        <v>19964842.98</v>
      </c>
      <c r="EJ103" s="250">
        <f t="shared" si="18"/>
        <v>15814458.119999997</v>
      </c>
      <c r="EK103" s="204">
        <f t="shared" ref="EK103:EK113" si="36">EH103+AC103-EI103</f>
        <v>35779301.099999994</v>
      </c>
      <c r="EL103" s="204">
        <f t="shared" ref="EL103:EL113" si="37">AC103-EI103</f>
        <v>0</v>
      </c>
      <c r="EM103" s="255">
        <f t="shared" ref="EM103:EM113" si="38">Z103-EH103</f>
        <v>0</v>
      </c>
      <c r="EN103" s="204">
        <f t="shared" ref="EN103:EN113" si="39">EH103-EJ103</f>
        <v>19964842.980000004</v>
      </c>
      <c r="EO103" s="204">
        <f t="shared" ref="EO103:EO113" si="40">+AA103+EM103</f>
        <v>4220698.8999999985</v>
      </c>
      <c r="EP103" s="323"/>
      <c r="EQ103" s="326">
        <v>44877</v>
      </c>
      <c r="ER103" s="326">
        <v>45015</v>
      </c>
      <c r="ES103" s="427">
        <v>-4150384.85</v>
      </c>
      <c r="ET103" s="290" t="s">
        <v>1392</v>
      </c>
      <c r="EU103" s="327"/>
      <c r="EV103" s="301"/>
      <c r="EW103" s="301"/>
      <c r="EX103" s="301"/>
      <c r="EY103" s="331">
        <f t="shared" si="31"/>
        <v>1</v>
      </c>
      <c r="EZ103" s="424">
        <v>1</v>
      </c>
      <c r="FA103" s="347"/>
      <c r="FB103" s="347"/>
      <c r="FC103" s="337">
        <f t="shared" ref="FC103:FC119" si="41">(AC103+EH103-EI103)/Z103</f>
        <v>0.99999999999999978</v>
      </c>
      <c r="FD103" s="348" t="s">
        <v>147</v>
      </c>
      <c r="FE103" s="290" t="s">
        <v>1043</v>
      </c>
      <c r="FF103" s="290"/>
      <c r="FG103" s="290" t="s">
        <v>161</v>
      </c>
      <c r="FH103" s="290" t="s">
        <v>169</v>
      </c>
      <c r="FI103" s="328">
        <v>814000</v>
      </c>
      <c r="FJ103" s="51" t="s">
        <v>1403</v>
      </c>
    </row>
    <row r="104" spans="1:166" ht="111.75" hidden="1" customHeight="1">
      <c r="A104" s="299"/>
      <c r="B104" s="304" t="s">
        <v>1086</v>
      </c>
      <c r="C104" s="304" t="s">
        <v>1188</v>
      </c>
      <c r="D104" s="300"/>
      <c r="E104" s="300"/>
      <c r="F104" s="290">
        <v>122197</v>
      </c>
      <c r="G104" s="301" t="s">
        <v>1085</v>
      </c>
      <c r="H104" s="330">
        <v>8500000</v>
      </c>
      <c r="I104" s="330">
        <v>8199416.5800000001</v>
      </c>
      <c r="J104" s="301" t="s">
        <v>253</v>
      </c>
      <c r="K104" s="301" t="s">
        <v>198</v>
      </c>
      <c r="L104" s="301" t="s">
        <v>199</v>
      </c>
      <c r="M104" s="290" t="s">
        <v>200</v>
      </c>
      <c r="N104" s="301" t="s">
        <v>775</v>
      </c>
      <c r="O104" s="290" t="s">
        <v>1122</v>
      </c>
      <c r="P104" s="290" t="s">
        <v>1123</v>
      </c>
      <c r="Q104" s="319"/>
      <c r="R104" s="320"/>
      <c r="S104" s="320"/>
      <c r="T104" s="320"/>
      <c r="U104" s="320"/>
      <c r="V104" s="321">
        <v>44924</v>
      </c>
      <c r="W104" s="321">
        <v>44925</v>
      </c>
      <c r="X104" s="322">
        <v>7068462.5700000003</v>
      </c>
      <c r="Y104" s="322">
        <f t="shared" si="35"/>
        <v>8199416.5811999999</v>
      </c>
      <c r="Z104" s="323">
        <v>8199416.5800000001</v>
      </c>
      <c r="AA104" s="204">
        <f t="shared" si="30"/>
        <v>300583.41999999993</v>
      </c>
      <c r="AB104" s="323">
        <v>0</v>
      </c>
      <c r="AC104" s="323">
        <v>0</v>
      </c>
      <c r="AD104" s="323">
        <v>7934026.7800000003</v>
      </c>
      <c r="AE104" s="323">
        <v>0</v>
      </c>
      <c r="AF104" s="324">
        <f t="shared" si="33"/>
        <v>7934026.7800000003</v>
      </c>
      <c r="AG104" s="325">
        <v>45002</v>
      </c>
      <c r="AH104" s="204">
        <v>117808.95</v>
      </c>
      <c r="AI104" s="204">
        <v>0</v>
      </c>
      <c r="AJ104" s="323">
        <f t="shared" ref="AJ104:AJ109" si="42">AH104-AI104</f>
        <v>117808.95</v>
      </c>
      <c r="AK104" s="325"/>
      <c r="AL104" s="323"/>
      <c r="AM104" s="323"/>
      <c r="AN104" s="323"/>
      <c r="AO104" s="325"/>
      <c r="AP104" s="323"/>
      <c r="AQ104" s="323"/>
      <c r="AR104" s="323"/>
      <c r="AS104" s="323"/>
      <c r="AT104" s="323"/>
      <c r="AU104" s="323"/>
      <c r="AV104" s="323"/>
      <c r="AW104" s="323"/>
      <c r="AX104" s="323"/>
      <c r="AY104" s="323"/>
      <c r="AZ104" s="323"/>
      <c r="BA104" s="323"/>
      <c r="BB104" s="323"/>
      <c r="BC104" s="323"/>
      <c r="BD104" s="323"/>
      <c r="BE104" s="323"/>
      <c r="BF104" s="323"/>
      <c r="BG104" s="323"/>
      <c r="BH104" s="323"/>
      <c r="BI104" s="323"/>
      <c r="BJ104" s="323"/>
      <c r="BK104" s="323"/>
      <c r="BL104" s="323"/>
      <c r="BM104" s="323"/>
      <c r="BN104" s="323"/>
      <c r="BO104" s="323"/>
      <c r="BP104" s="323"/>
      <c r="BQ104" s="323"/>
      <c r="BR104" s="323"/>
      <c r="BS104" s="323"/>
      <c r="BT104" s="323"/>
      <c r="BU104" s="323"/>
      <c r="BV104" s="323"/>
      <c r="BW104" s="323"/>
      <c r="BX104" s="323"/>
      <c r="BY104" s="323"/>
      <c r="BZ104" s="323"/>
      <c r="CA104" s="323"/>
      <c r="CB104" s="323"/>
      <c r="CC104" s="323"/>
      <c r="CD104" s="323"/>
      <c r="CE104" s="323"/>
      <c r="CF104" s="323"/>
      <c r="CG104" s="323"/>
      <c r="CH104" s="323"/>
      <c r="CI104" s="323"/>
      <c r="CJ104" s="323"/>
      <c r="CK104" s="323"/>
      <c r="CL104" s="323"/>
      <c r="CM104" s="323"/>
      <c r="CN104" s="323"/>
      <c r="CO104" s="323"/>
      <c r="CP104" s="323"/>
      <c r="CQ104" s="323"/>
      <c r="CR104" s="323"/>
      <c r="CS104" s="323"/>
      <c r="CT104" s="323"/>
      <c r="CU104" s="323"/>
      <c r="CV104" s="323"/>
      <c r="CW104" s="323"/>
      <c r="CX104" s="323"/>
      <c r="CY104" s="323"/>
      <c r="CZ104" s="323"/>
      <c r="DA104" s="323"/>
      <c r="DB104" s="323"/>
      <c r="DC104" s="323"/>
      <c r="DD104" s="323"/>
      <c r="DE104" s="323"/>
      <c r="DF104" s="323"/>
      <c r="DG104" s="323"/>
      <c r="DH104" s="323"/>
      <c r="DI104" s="323"/>
      <c r="DJ104" s="323"/>
      <c r="DK104" s="323"/>
      <c r="DL104" s="323"/>
      <c r="DM104" s="323"/>
      <c r="DN104" s="323"/>
      <c r="DO104" s="323"/>
      <c r="DP104" s="323"/>
      <c r="DQ104" s="323"/>
      <c r="DR104" s="323"/>
      <c r="DS104" s="323"/>
      <c r="DT104" s="323"/>
      <c r="DU104" s="323"/>
      <c r="DV104" s="323"/>
      <c r="DW104" s="323"/>
      <c r="DX104" s="323"/>
      <c r="DY104" s="323"/>
      <c r="DZ104" s="323"/>
      <c r="EA104" s="323"/>
      <c r="EB104" s="323"/>
      <c r="EC104" s="323"/>
      <c r="ED104" s="323"/>
      <c r="EE104" s="323"/>
      <c r="EF104" s="323"/>
      <c r="EG104" s="323"/>
      <c r="EH104" s="250">
        <f t="shared" si="27"/>
        <v>8051835.7300000004</v>
      </c>
      <c r="EI104" s="250">
        <f t="shared" si="18"/>
        <v>0</v>
      </c>
      <c r="EJ104" s="250">
        <f t="shared" si="18"/>
        <v>8051835.7300000004</v>
      </c>
      <c r="EK104" s="204">
        <f t="shared" si="36"/>
        <v>8051835.7300000004</v>
      </c>
      <c r="EL104" s="204">
        <f t="shared" si="37"/>
        <v>0</v>
      </c>
      <c r="EM104" s="204">
        <f t="shared" si="38"/>
        <v>147580.84999999963</v>
      </c>
      <c r="EN104" s="204">
        <f t="shared" si="39"/>
        <v>0</v>
      </c>
      <c r="EO104" s="204">
        <f t="shared" si="40"/>
        <v>448164.26999999955</v>
      </c>
      <c r="EP104" s="323"/>
      <c r="EQ104" s="326">
        <v>44926</v>
      </c>
      <c r="ER104" s="326">
        <v>45005</v>
      </c>
      <c r="ES104" s="301"/>
      <c r="ET104" s="301"/>
      <c r="EU104" s="327"/>
      <c r="EV104" s="301"/>
      <c r="EW104" s="301"/>
      <c r="EX104" s="301"/>
      <c r="EY104" s="331">
        <f t="shared" si="31"/>
        <v>0.98200105476285005</v>
      </c>
      <c r="EZ104" s="420">
        <v>1</v>
      </c>
      <c r="FA104" s="347"/>
      <c r="FB104" s="347"/>
      <c r="FC104" s="337">
        <f t="shared" si="41"/>
        <v>0.98200105476285005</v>
      </c>
      <c r="FD104" s="348" t="s">
        <v>147</v>
      </c>
      <c r="FE104" s="290" t="s">
        <v>259</v>
      </c>
      <c r="FF104" s="290"/>
      <c r="FG104" s="290" t="s">
        <v>138</v>
      </c>
      <c r="FH104" s="290" t="s">
        <v>148</v>
      </c>
      <c r="FI104" s="328">
        <v>3000</v>
      </c>
      <c r="FJ104" s="329" t="s">
        <v>1299</v>
      </c>
    </row>
    <row r="105" spans="1:166" ht="97.5" hidden="1" customHeight="1">
      <c r="A105" s="299"/>
      <c r="B105" s="304" t="s">
        <v>1086</v>
      </c>
      <c r="C105" s="304"/>
      <c r="D105" s="300"/>
      <c r="E105" s="300"/>
      <c r="F105" s="290">
        <v>122198</v>
      </c>
      <c r="G105" s="301" t="s">
        <v>1087</v>
      </c>
      <c r="H105" s="330">
        <v>5000000</v>
      </c>
      <c r="I105" s="330"/>
      <c r="J105" s="301" t="s">
        <v>253</v>
      </c>
      <c r="K105" s="301" t="s">
        <v>1126</v>
      </c>
      <c r="L105" s="301" t="s">
        <v>1143</v>
      </c>
      <c r="M105" s="290" t="s">
        <v>1128</v>
      </c>
      <c r="N105" s="301" t="s">
        <v>1129</v>
      </c>
      <c r="O105" s="290">
        <v>7225904458</v>
      </c>
      <c r="P105" s="290" t="s">
        <v>1157</v>
      </c>
      <c r="Q105" s="319"/>
      <c r="R105" s="320"/>
      <c r="S105" s="320"/>
      <c r="T105" s="320"/>
      <c r="U105" s="320"/>
      <c r="V105" s="321"/>
      <c r="W105" s="321">
        <v>44924</v>
      </c>
      <c r="X105" s="322">
        <v>4309357.3099999996</v>
      </c>
      <c r="Y105" s="322">
        <f t="shared" si="35"/>
        <v>4998854.4795999993</v>
      </c>
      <c r="Z105" s="323">
        <v>4998854.4800000004</v>
      </c>
      <c r="AA105" s="204">
        <f t="shared" si="30"/>
        <v>1145.519999999553</v>
      </c>
      <c r="AB105" s="323">
        <v>1499656.34</v>
      </c>
      <c r="AC105" s="323">
        <v>1499656.34</v>
      </c>
      <c r="AD105" s="323">
        <v>1537175.84</v>
      </c>
      <c r="AE105" s="323">
        <v>461152.75</v>
      </c>
      <c r="AF105" s="324">
        <f t="shared" si="33"/>
        <v>1076023.0900000001</v>
      </c>
      <c r="AG105" s="325">
        <v>45013</v>
      </c>
      <c r="AH105" s="204">
        <v>1801996.1</v>
      </c>
      <c r="AI105" s="204">
        <v>540598.82999999996</v>
      </c>
      <c r="AJ105" s="323">
        <f t="shared" si="42"/>
        <v>1261397.27</v>
      </c>
      <c r="AK105" s="325">
        <v>45016</v>
      </c>
      <c r="AL105" s="323">
        <v>1167220.3700000001</v>
      </c>
      <c r="AM105" s="323">
        <v>350166.11</v>
      </c>
      <c r="AN105" s="323">
        <f>AL105-AM105</f>
        <v>817054.26000000013</v>
      </c>
      <c r="AO105" s="325">
        <v>45016</v>
      </c>
      <c r="AP105" s="323">
        <v>202654.33</v>
      </c>
      <c r="AQ105" s="323">
        <v>60796.3</v>
      </c>
      <c r="AR105" s="323">
        <f>AP105-AQ105</f>
        <v>141858.02999999997</v>
      </c>
      <c r="AS105" s="325">
        <v>45020</v>
      </c>
      <c r="AT105" s="323">
        <v>220055.94</v>
      </c>
      <c r="AU105" s="323">
        <v>86942.35</v>
      </c>
      <c r="AV105" s="323">
        <f>AT105-AU105</f>
        <v>133113.59</v>
      </c>
      <c r="AW105" s="325">
        <v>45021</v>
      </c>
      <c r="AX105" s="412">
        <v>-53653.98</v>
      </c>
      <c r="AY105" s="412">
        <v>86942.35</v>
      </c>
      <c r="AZ105" s="412">
        <f>AX105-AY105</f>
        <v>-140596.33000000002</v>
      </c>
      <c r="BA105" s="412" t="s">
        <v>305</v>
      </c>
      <c r="BB105" s="323"/>
      <c r="BC105" s="323"/>
      <c r="BD105" s="323"/>
      <c r="BE105" s="323"/>
      <c r="BF105" s="323"/>
      <c r="BG105" s="323"/>
      <c r="BH105" s="323"/>
      <c r="BI105" s="323"/>
      <c r="BJ105" s="323"/>
      <c r="BK105" s="323"/>
      <c r="BL105" s="323"/>
      <c r="BM105" s="323"/>
      <c r="BN105" s="323"/>
      <c r="BO105" s="323"/>
      <c r="BP105" s="323"/>
      <c r="BQ105" s="323"/>
      <c r="BR105" s="323"/>
      <c r="BS105" s="323"/>
      <c r="BT105" s="323"/>
      <c r="BU105" s="323"/>
      <c r="BV105" s="323"/>
      <c r="BW105" s="323"/>
      <c r="BX105" s="323"/>
      <c r="BY105" s="323"/>
      <c r="BZ105" s="323"/>
      <c r="CA105" s="323"/>
      <c r="CB105" s="323"/>
      <c r="CC105" s="323"/>
      <c r="CD105" s="323"/>
      <c r="CE105" s="323"/>
      <c r="CF105" s="323"/>
      <c r="CG105" s="323"/>
      <c r="CH105" s="323"/>
      <c r="CI105" s="323"/>
      <c r="CJ105" s="323"/>
      <c r="CK105" s="323"/>
      <c r="CL105" s="323"/>
      <c r="CM105" s="323"/>
      <c r="CN105" s="323"/>
      <c r="CO105" s="323"/>
      <c r="CP105" s="323"/>
      <c r="CQ105" s="323"/>
      <c r="CR105" s="323"/>
      <c r="CS105" s="323"/>
      <c r="CT105" s="323"/>
      <c r="CU105" s="323"/>
      <c r="CV105" s="323"/>
      <c r="CW105" s="323"/>
      <c r="CX105" s="323"/>
      <c r="CY105" s="323"/>
      <c r="CZ105" s="323"/>
      <c r="DA105" s="323"/>
      <c r="DB105" s="323"/>
      <c r="DC105" s="323"/>
      <c r="DD105" s="323"/>
      <c r="DE105" s="323"/>
      <c r="DF105" s="323"/>
      <c r="DG105" s="323"/>
      <c r="DH105" s="323"/>
      <c r="DI105" s="323"/>
      <c r="DJ105" s="323"/>
      <c r="DK105" s="323"/>
      <c r="DL105" s="323"/>
      <c r="DM105" s="323"/>
      <c r="DN105" s="323"/>
      <c r="DO105" s="323"/>
      <c r="DP105" s="323"/>
      <c r="DQ105" s="323"/>
      <c r="DR105" s="323"/>
      <c r="DS105" s="323"/>
      <c r="DT105" s="323"/>
      <c r="DU105" s="323"/>
      <c r="DV105" s="323"/>
      <c r="DW105" s="323"/>
      <c r="DX105" s="323"/>
      <c r="DY105" s="323"/>
      <c r="DZ105" s="323"/>
      <c r="EA105" s="323"/>
      <c r="EB105" s="323"/>
      <c r="EC105" s="323"/>
      <c r="ED105" s="323"/>
      <c r="EE105" s="323"/>
      <c r="EF105" s="323"/>
      <c r="EG105" s="323"/>
      <c r="EH105" s="250">
        <f t="shared" si="27"/>
        <v>4875448.6000000006</v>
      </c>
      <c r="EI105" s="250">
        <f t="shared" si="18"/>
        <v>1586598.6900000002</v>
      </c>
      <c r="EJ105" s="250">
        <f t="shared" si="18"/>
        <v>3288849.91</v>
      </c>
      <c r="EK105" s="204">
        <f t="shared" si="36"/>
        <v>4788506.25</v>
      </c>
      <c r="EL105" s="204">
        <f t="shared" si="37"/>
        <v>-86942.350000000093</v>
      </c>
      <c r="EM105" s="204">
        <f t="shared" si="38"/>
        <v>123405.87999999989</v>
      </c>
      <c r="EN105" s="204">
        <f t="shared" si="39"/>
        <v>1586598.6900000004</v>
      </c>
      <c r="EO105" s="204">
        <f t="shared" si="40"/>
        <v>124551.39999999944</v>
      </c>
      <c r="EP105" s="323"/>
      <c r="EQ105" s="326">
        <v>44924</v>
      </c>
      <c r="ER105" s="326">
        <v>45015</v>
      </c>
      <c r="ES105" s="301"/>
      <c r="ET105" s="301"/>
      <c r="EU105" s="327"/>
      <c r="EV105" s="301"/>
      <c r="EW105" s="301"/>
      <c r="EX105" s="301"/>
      <c r="EY105" s="331">
        <f t="shared" si="31"/>
        <v>0.97531316814807545</v>
      </c>
      <c r="EZ105" s="404">
        <v>1</v>
      </c>
      <c r="FA105" s="347"/>
      <c r="FB105" s="347"/>
      <c r="FC105" s="337">
        <f t="shared" si="41"/>
        <v>0.95792071346713814</v>
      </c>
      <c r="FD105" s="348" t="s">
        <v>147</v>
      </c>
      <c r="FE105" s="290" t="s">
        <v>1088</v>
      </c>
      <c r="FF105" s="290"/>
      <c r="FG105" s="290" t="s">
        <v>157</v>
      </c>
      <c r="FH105" s="290" t="s">
        <v>169</v>
      </c>
      <c r="FI105" s="328">
        <v>800</v>
      </c>
      <c r="FJ105" s="329" t="s">
        <v>1225</v>
      </c>
    </row>
    <row r="106" spans="1:166" ht="91.5" hidden="1" customHeight="1">
      <c r="A106" s="299"/>
      <c r="B106" s="304" t="s">
        <v>1086</v>
      </c>
      <c r="C106" s="304"/>
      <c r="D106" s="300"/>
      <c r="E106" s="300"/>
      <c r="F106" s="290">
        <v>122199</v>
      </c>
      <c r="G106" s="301" t="s">
        <v>1089</v>
      </c>
      <c r="H106" s="330">
        <v>6000000</v>
      </c>
      <c r="I106" s="330"/>
      <c r="J106" s="301" t="s">
        <v>253</v>
      </c>
      <c r="K106" s="301" t="s">
        <v>185</v>
      </c>
      <c r="L106" s="301" t="s">
        <v>697</v>
      </c>
      <c r="M106" s="290" t="s">
        <v>186</v>
      </c>
      <c r="N106" s="301" t="s">
        <v>698</v>
      </c>
      <c r="O106" s="290">
        <v>5558820099</v>
      </c>
      <c r="P106" s="290" t="s">
        <v>1124</v>
      </c>
      <c r="Q106" s="319"/>
      <c r="R106" s="320"/>
      <c r="S106" s="320"/>
      <c r="T106" s="320"/>
      <c r="U106" s="320"/>
      <c r="V106" s="321">
        <v>44924</v>
      </c>
      <c r="W106" s="321">
        <v>44925</v>
      </c>
      <c r="X106" s="322">
        <v>4481778.51</v>
      </c>
      <c r="Y106" s="322">
        <f t="shared" si="35"/>
        <v>5198863.0715999994</v>
      </c>
      <c r="Z106" s="323">
        <v>5198863.07</v>
      </c>
      <c r="AA106" s="204">
        <f t="shared" si="30"/>
        <v>801136.9299999997</v>
      </c>
      <c r="AB106" s="323">
        <v>0</v>
      </c>
      <c r="AC106" s="323"/>
      <c r="AD106" s="323">
        <v>1736579.19</v>
      </c>
      <c r="AE106" s="323">
        <v>0</v>
      </c>
      <c r="AF106" s="324">
        <f t="shared" si="33"/>
        <v>1736579.19</v>
      </c>
      <c r="AG106" s="325">
        <v>45008</v>
      </c>
      <c r="AH106" s="204">
        <v>2149885.04</v>
      </c>
      <c r="AI106" s="323">
        <v>0</v>
      </c>
      <c r="AJ106" s="323">
        <f t="shared" si="42"/>
        <v>2149885.04</v>
      </c>
      <c r="AK106" s="410">
        <v>45019</v>
      </c>
      <c r="AL106" s="411">
        <v>753737.4</v>
      </c>
      <c r="AM106" s="323">
        <v>0</v>
      </c>
      <c r="AN106" s="323">
        <f>AL106-AM106</f>
        <v>753737.4</v>
      </c>
      <c r="AO106" s="410">
        <v>45020</v>
      </c>
      <c r="AP106" s="323">
        <v>0</v>
      </c>
      <c r="AQ106" s="323">
        <v>0</v>
      </c>
      <c r="AR106" s="323">
        <v>0</v>
      </c>
      <c r="AS106" s="323" t="s">
        <v>305</v>
      </c>
      <c r="AT106" s="323"/>
      <c r="AU106" s="323"/>
      <c r="AV106" s="323"/>
      <c r="AW106" s="323"/>
      <c r="AX106" s="323"/>
      <c r="AY106" s="323"/>
      <c r="AZ106" s="323"/>
      <c r="BA106" s="323"/>
      <c r="BB106" s="323"/>
      <c r="BC106" s="323"/>
      <c r="BD106" s="323"/>
      <c r="BE106" s="323"/>
      <c r="BF106" s="323"/>
      <c r="BG106" s="323"/>
      <c r="BH106" s="323"/>
      <c r="BI106" s="323"/>
      <c r="BJ106" s="323"/>
      <c r="BK106" s="323"/>
      <c r="BL106" s="323"/>
      <c r="BM106" s="323"/>
      <c r="BN106" s="323"/>
      <c r="BO106" s="323"/>
      <c r="BP106" s="323"/>
      <c r="BQ106" s="323"/>
      <c r="BR106" s="323"/>
      <c r="BS106" s="323"/>
      <c r="BT106" s="323"/>
      <c r="BU106" s="323"/>
      <c r="BV106" s="323"/>
      <c r="BW106" s="323"/>
      <c r="BX106" s="323"/>
      <c r="BY106" s="323"/>
      <c r="BZ106" s="323"/>
      <c r="CA106" s="323"/>
      <c r="CB106" s="323"/>
      <c r="CC106" s="323"/>
      <c r="CD106" s="323"/>
      <c r="CE106" s="323"/>
      <c r="CF106" s="323"/>
      <c r="CG106" s="323"/>
      <c r="CH106" s="323"/>
      <c r="CI106" s="323"/>
      <c r="CJ106" s="323"/>
      <c r="CK106" s="323"/>
      <c r="CL106" s="323"/>
      <c r="CM106" s="323"/>
      <c r="CN106" s="323"/>
      <c r="CO106" s="323"/>
      <c r="CP106" s="323"/>
      <c r="CQ106" s="323"/>
      <c r="CR106" s="323"/>
      <c r="CS106" s="323"/>
      <c r="CT106" s="323"/>
      <c r="CU106" s="323"/>
      <c r="CV106" s="323"/>
      <c r="CW106" s="323"/>
      <c r="CX106" s="323"/>
      <c r="CY106" s="323"/>
      <c r="CZ106" s="323"/>
      <c r="DA106" s="323"/>
      <c r="DB106" s="323"/>
      <c r="DC106" s="323"/>
      <c r="DD106" s="323"/>
      <c r="DE106" s="323"/>
      <c r="DF106" s="323"/>
      <c r="DG106" s="323"/>
      <c r="DH106" s="323"/>
      <c r="DI106" s="323"/>
      <c r="DJ106" s="323"/>
      <c r="DK106" s="323"/>
      <c r="DL106" s="323"/>
      <c r="DM106" s="323"/>
      <c r="DN106" s="323"/>
      <c r="DO106" s="323"/>
      <c r="DP106" s="323"/>
      <c r="DQ106" s="323"/>
      <c r="DR106" s="323"/>
      <c r="DS106" s="323"/>
      <c r="DT106" s="323"/>
      <c r="DU106" s="323"/>
      <c r="DV106" s="323"/>
      <c r="DW106" s="323"/>
      <c r="DX106" s="323"/>
      <c r="DY106" s="323"/>
      <c r="DZ106" s="323"/>
      <c r="EA106" s="323"/>
      <c r="EB106" s="323"/>
      <c r="EC106" s="323"/>
      <c r="ED106" s="323"/>
      <c r="EE106" s="323"/>
      <c r="EF106" s="323"/>
      <c r="EG106" s="323"/>
      <c r="EH106" s="250">
        <f t="shared" si="27"/>
        <v>4640201.63</v>
      </c>
      <c r="EI106" s="250">
        <f t="shared" si="18"/>
        <v>0</v>
      </c>
      <c r="EJ106" s="250">
        <f t="shared" si="18"/>
        <v>4640201.63</v>
      </c>
      <c r="EK106" s="204">
        <f t="shared" si="36"/>
        <v>4640201.63</v>
      </c>
      <c r="EL106" s="204">
        <f t="shared" si="37"/>
        <v>0</v>
      </c>
      <c r="EM106" s="204">
        <f t="shared" si="38"/>
        <v>558661.44000000041</v>
      </c>
      <c r="EN106" s="204">
        <f t="shared" si="39"/>
        <v>0</v>
      </c>
      <c r="EO106" s="204">
        <f t="shared" si="40"/>
        <v>1359798.37</v>
      </c>
      <c r="EP106" s="323"/>
      <c r="EQ106" s="326">
        <v>44926</v>
      </c>
      <c r="ER106" s="326">
        <v>45015</v>
      </c>
      <c r="ES106" s="301"/>
      <c r="ET106" s="301"/>
      <c r="EU106" s="327"/>
      <c r="EV106" s="301"/>
      <c r="EW106" s="301"/>
      <c r="EX106" s="301"/>
      <c r="EY106" s="331">
        <f t="shared" si="31"/>
        <v>0.89254161294923273</v>
      </c>
      <c r="EZ106" s="404">
        <v>1</v>
      </c>
      <c r="FA106" s="347"/>
      <c r="FB106" s="347"/>
      <c r="FC106" s="337">
        <f t="shared" si="41"/>
        <v>0.89254161294923273</v>
      </c>
      <c r="FD106" s="348" t="s">
        <v>147</v>
      </c>
      <c r="FE106" s="290" t="s">
        <v>1090</v>
      </c>
      <c r="FF106" s="290"/>
      <c r="FG106" s="290" t="s">
        <v>157</v>
      </c>
      <c r="FH106" s="290" t="s">
        <v>146</v>
      </c>
      <c r="FI106" s="328">
        <v>5000</v>
      </c>
      <c r="FJ106" s="329" t="s">
        <v>1226</v>
      </c>
    </row>
    <row r="107" spans="1:166" ht="99" hidden="1" customHeight="1">
      <c r="A107" s="299"/>
      <c r="B107" s="304" t="s">
        <v>1086</v>
      </c>
      <c r="C107" s="304" t="s">
        <v>1201</v>
      </c>
      <c r="D107" s="381"/>
      <c r="E107" s="381"/>
      <c r="F107" s="290">
        <v>122200</v>
      </c>
      <c r="G107" s="301" t="s">
        <v>1091</v>
      </c>
      <c r="H107" s="330">
        <v>7000000</v>
      </c>
      <c r="I107" s="330">
        <v>6998049.3700000001</v>
      </c>
      <c r="J107" s="301" t="s">
        <v>253</v>
      </c>
      <c r="K107" s="301" t="s">
        <v>240</v>
      </c>
      <c r="L107" s="301" t="s">
        <v>241</v>
      </c>
      <c r="M107" s="290" t="s">
        <v>242</v>
      </c>
      <c r="N107" s="301" t="s">
        <v>244</v>
      </c>
      <c r="O107" s="290">
        <v>7222041354</v>
      </c>
      <c r="P107" s="290" t="s">
        <v>1121</v>
      </c>
      <c r="Q107" s="319"/>
      <c r="R107" s="320"/>
      <c r="S107" s="320"/>
      <c r="T107" s="320"/>
      <c r="U107" s="320"/>
      <c r="V107" s="321">
        <v>44924</v>
      </c>
      <c r="W107" s="321">
        <v>44925</v>
      </c>
      <c r="X107" s="322">
        <v>6032801.1799999997</v>
      </c>
      <c r="Y107" s="322">
        <f t="shared" si="35"/>
        <v>6998049.3687999994</v>
      </c>
      <c r="Z107" s="323">
        <v>6998049.3700000001</v>
      </c>
      <c r="AA107" s="204">
        <f t="shared" si="30"/>
        <v>1950.6299999998882</v>
      </c>
      <c r="AB107" s="323">
        <v>0</v>
      </c>
      <c r="AC107" s="323">
        <v>0</v>
      </c>
      <c r="AD107" s="323">
        <v>2318239.9700000002</v>
      </c>
      <c r="AE107" s="323">
        <v>0</v>
      </c>
      <c r="AF107" s="324">
        <f t="shared" si="33"/>
        <v>2318239.9700000002</v>
      </c>
      <c r="AG107" s="325">
        <v>44966</v>
      </c>
      <c r="AH107" s="204">
        <v>4679319.4400000004</v>
      </c>
      <c r="AI107" s="323">
        <v>0</v>
      </c>
      <c r="AJ107" s="323">
        <f t="shared" si="42"/>
        <v>4679319.4400000004</v>
      </c>
      <c r="AK107" s="410">
        <v>45021</v>
      </c>
      <c r="AL107" s="323">
        <v>0</v>
      </c>
      <c r="AM107" s="323">
        <v>0</v>
      </c>
      <c r="AN107" s="323">
        <f>AL107-AM107</f>
        <v>0</v>
      </c>
      <c r="AO107" s="325" t="s">
        <v>1337</v>
      </c>
      <c r="AP107" s="323"/>
      <c r="AQ107" s="323"/>
      <c r="AR107" s="323"/>
      <c r="AS107" s="323"/>
      <c r="AT107" s="323"/>
      <c r="AU107" s="323"/>
      <c r="AV107" s="323"/>
      <c r="AW107" s="323"/>
      <c r="AX107" s="323"/>
      <c r="AY107" s="323"/>
      <c r="AZ107" s="323"/>
      <c r="BA107" s="323"/>
      <c r="BB107" s="323"/>
      <c r="BC107" s="323"/>
      <c r="BD107" s="323"/>
      <c r="BE107" s="323"/>
      <c r="BF107" s="323"/>
      <c r="BG107" s="323"/>
      <c r="BH107" s="323"/>
      <c r="BI107" s="323"/>
      <c r="BJ107" s="323"/>
      <c r="BK107" s="323"/>
      <c r="BL107" s="323"/>
      <c r="BM107" s="323"/>
      <c r="BN107" s="323"/>
      <c r="BO107" s="323"/>
      <c r="BP107" s="323"/>
      <c r="BQ107" s="323"/>
      <c r="BR107" s="323"/>
      <c r="BS107" s="323"/>
      <c r="BT107" s="323"/>
      <c r="BU107" s="323"/>
      <c r="BV107" s="323"/>
      <c r="BW107" s="323"/>
      <c r="BX107" s="323"/>
      <c r="BY107" s="323"/>
      <c r="BZ107" s="323"/>
      <c r="CA107" s="323"/>
      <c r="CB107" s="323"/>
      <c r="CC107" s="323"/>
      <c r="CD107" s="323"/>
      <c r="CE107" s="323"/>
      <c r="CF107" s="323"/>
      <c r="CG107" s="323"/>
      <c r="CH107" s="323"/>
      <c r="CI107" s="323"/>
      <c r="CJ107" s="323"/>
      <c r="CK107" s="323"/>
      <c r="CL107" s="323"/>
      <c r="CM107" s="323"/>
      <c r="CN107" s="323"/>
      <c r="CO107" s="323"/>
      <c r="CP107" s="323"/>
      <c r="CQ107" s="323"/>
      <c r="CR107" s="323"/>
      <c r="CS107" s="323"/>
      <c r="CT107" s="323"/>
      <c r="CU107" s="323"/>
      <c r="CV107" s="323"/>
      <c r="CW107" s="323"/>
      <c r="CX107" s="323"/>
      <c r="CY107" s="323"/>
      <c r="CZ107" s="323"/>
      <c r="DA107" s="323"/>
      <c r="DB107" s="323"/>
      <c r="DC107" s="323"/>
      <c r="DD107" s="323"/>
      <c r="DE107" s="323"/>
      <c r="DF107" s="323"/>
      <c r="DG107" s="323"/>
      <c r="DH107" s="323"/>
      <c r="DI107" s="323"/>
      <c r="DJ107" s="323"/>
      <c r="DK107" s="323"/>
      <c r="DL107" s="323"/>
      <c r="DM107" s="323"/>
      <c r="DN107" s="323"/>
      <c r="DO107" s="323"/>
      <c r="DP107" s="323"/>
      <c r="DQ107" s="323"/>
      <c r="DR107" s="323"/>
      <c r="DS107" s="323"/>
      <c r="DT107" s="323"/>
      <c r="DU107" s="323"/>
      <c r="DV107" s="323"/>
      <c r="DW107" s="323"/>
      <c r="DX107" s="323"/>
      <c r="DY107" s="323"/>
      <c r="DZ107" s="323"/>
      <c r="EA107" s="323"/>
      <c r="EB107" s="323"/>
      <c r="EC107" s="323"/>
      <c r="ED107" s="323"/>
      <c r="EE107" s="323"/>
      <c r="EF107" s="323"/>
      <c r="EG107" s="323"/>
      <c r="EH107" s="250">
        <f t="shared" si="27"/>
        <v>6997559.4100000001</v>
      </c>
      <c r="EI107" s="250">
        <f t="shared" si="18"/>
        <v>0</v>
      </c>
      <c r="EJ107" s="250">
        <f t="shared" si="18"/>
        <v>6997559.4100000001</v>
      </c>
      <c r="EK107" s="204">
        <f t="shared" si="36"/>
        <v>6997559.4100000001</v>
      </c>
      <c r="EL107" s="204">
        <f t="shared" si="37"/>
        <v>0</v>
      </c>
      <c r="EM107" s="204">
        <f t="shared" si="38"/>
        <v>489.95999999996275</v>
      </c>
      <c r="EN107" s="204">
        <f t="shared" si="39"/>
        <v>0</v>
      </c>
      <c r="EO107" s="204">
        <f t="shared" si="40"/>
        <v>2440.589999999851</v>
      </c>
      <c r="EP107" s="323"/>
      <c r="EQ107" s="326">
        <v>44926</v>
      </c>
      <c r="ER107" s="326">
        <v>45015</v>
      </c>
      <c r="ES107" s="301"/>
      <c r="ET107" s="301"/>
      <c r="EU107" s="327"/>
      <c r="EV107" s="301"/>
      <c r="EW107" s="301"/>
      <c r="EX107" s="301"/>
      <c r="EY107" s="331">
        <f t="shared" si="31"/>
        <v>0.99992998620414131</v>
      </c>
      <c r="EZ107" s="404">
        <v>1</v>
      </c>
      <c r="FA107" s="347"/>
      <c r="FB107" s="347"/>
      <c r="FC107" s="337">
        <f t="shared" si="41"/>
        <v>0.99992998620414131</v>
      </c>
      <c r="FD107" s="348" t="s">
        <v>147</v>
      </c>
      <c r="FE107" s="290" t="s">
        <v>1092</v>
      </c>
      <c r="FF107" s="290"/>
      <c r="FG107" s="290" t="s">
        <v>150</v>
      </c>
      <c r="FH107" s="290" t="s">
        <v>169</v>
      </c>
      <c r="FI107" s="328">
        <v>4500</v>
      </c>
      <c r="FJ107" s="329" t="s">
        <v>1224</v>
      </c>
    </row>
    <row r="108" spans="1:166" ht="102" hidden="1" customHeight="1">
      <c r="A108" s="207"/>
      <c r="B108" s="304" t="s">
        <v>1086</v>
      </c>
      <c r="C108" s="304" t="s">
        <v>1189</v>
      </c>
      <c r="D108" s="300"/>
      <c r="E108" s="300"/>
      <c r="F108" s="20">
        <v>122201</v>
      </c>
      <c r="G108" s="70" t="s">
        <v>1093</v>
      </c>
      <c r="H108" s="330">
        <v>5000000</v>
      </c>
      <c r="I108" s="330">
        <v>4991707.29</v>
      </c>
      <c r="J108" s="70" t="s">
        <v>253</v>
      </c>
      <c r="K108" s="70" t="s">
        <v>720</v>
      </c>
      <c r="L108" s="301" t="s">
        <v>733</v>
      </c>
      <c r="M108" s="290" t="s">
        <v>734</v>
      </c>
      <c r="N108" s="301" t="s">
        <v>735</v>
      </c>
      <c r="O108" s="290">
        <v>7222742044</v>
      </c>
      <c r="P108" s="20" t="s">
        <v>1156</v>
      </c>
      <c r="Q108" s="319"/>
      <c r="R108" s="320"/>
      <c r="S108" s="320"/>
      <c r="T108" s="320"/>
      <c r="U108" s="320"/>
      <c r="V108" s="321"/>
      <c r="W108" s="321">
        <v>44924</v>
      </c>
      <c r="X108" s="303">
        <v>4303195.9400000004</v>
      </c>
      <c r="Y108" s="303">
        <f t="shared" si="35"/>
        <v>4991707.2904000003</v>
      </c>
      <c r="Z108" s="250">
        <v>4991707.29</v>
      </c>
      <c r="AA108" s="204">
        <f t="shared" si="30"/>
        <v>8292.7099999999627</v>
      </c>
      <c r="AB108" s="323">
        <v>0</v>
      </c>
      <c r="AC108" s="323">
        <v>0</v>
      </c>
      <c r="AD108" s="323">
        <v>1109069.1200000001</v>
      </c>
      <c r="AE108" s="323">
        <v>0</v>
      </c>
      <c r="AF108" s="324">
        <f t="shared" si="33"/>
        <v>1109069.1200000001</v>
      </c>
      <c r="AG108" s="325">
        <v>45002</v>
      </c>
      <c r="AH108" s="323">
        <v>2824467.48</v>
      </c>
      <c r="AI108" s="323">
        <v>0</v>
      </c>
      <c r="AJ108" s="323">
        <f t="shared" si="42"/>
        <v>2824467.48</v>
      </c>
      <c r="AK108" s="325">
        <v>45016</v>
      </c>
      <c r="AL108" s="323">
        <v>414579.3</v>
      </c>
      <c r="AM108" s="323">
        <v>0</v>
      </c>
      <c r="AN108" s="323">
        <f>AL108-AM108</f>
        <v>414579.3</v>
      </c>
      <c r="AO108" s="325">
        <v>45019</v>
      </c>
      <c r="AP108" s="323">
        <v>0</v>
      </c>
      <c r="AQ108" s="323">
        <v>0</v>
      </c>
      <c r="AR108" s="323">
        <v>0</v>
      </c>
      <c r="AS108" s="323" t="s">
        <v>305</v>
      </c>
      <c r="AT108" s="323"/>
      <c r="AU108" s="323"/>
      <c r="AV108" s="323"/>
      <c r="AW108" s="323"/>
      <c r="AX108" s="323"/>
      <c r="AY108" s="323"/>
      <c r="AZ108" s="323"/>
      <c r="BA108" s="323"/>
      <c r="BB108" s="323"/>
      <c r="BC108" s="323"/>
      <c r="BD108" s="323"/>
      <c r="BE108" s="323"/>
      <c r="BF108" s="323"/>
      <c r="BG108" s="323"/>
      <c r="BH108" s="323"/>
      <c r="BI108" s="323"/>
      <c r="BJ108" s="323"/>
      <c r="BK108" s="323"/>
      <c r="BL108" s="323"/>
      <c r="BM108" s="323"/>
      <c r="BN108" s="323"/>
      <c r="BO108" s="323"/>
      <c r="BP108" s="323"/>
      <c r="BQ108" s="323"/>
      <c r="BR108" s="323"/>
      <c r="BS108" s="323"/>
      <c r="BT108" s="323"/>
      <c r="BU108" s="323"/>
      <c r="BV108" s="323"/>
      <c r="BW108" s="323"/>
      <c r="BX108" s="323"/>
      <c r="BY108" s="323"/>
      <c r="BZ108" s="323"/>
      <c r="CA108" s="323"/>
      <c r="CB108" s="323"/>
      <c r="CC108" s="323"/>
      <c r="CD108" s="323"/>
      <c r="CE108" s="323"/>
      <c r="CF108" s="323"/>
      <c r="CG108" s="323"/>
      <c r="CH108" s="323"/>
      <c r="CI108" s="323"/>
      <c r="CJ108" s="323"/>
      <c r="CK108" s="323"/>
      <c r="CL108" s="323"/>
      <c r="CM108" s="323"/>
      <c r="CN108" s="323"/>
      <c r="CO108" s="323"/>
      <c r="CP108" s="323"/>
      <c r="CQ108" s="323"/>
      <c r="CR108" s="323"/>
      <c r="CS108" s="323"/>
      <c r="CT108" s="323"/>
      <c r="CU108" s="323"/>
      <c r="CV108" s="323"/>
      <c r="CW108" s="323"/>
      <c r="CX108" s="323"/>
      <c r="CY108" s="323"/>
      <c r="CZ108" s="323"/>
      <c r="DA108" s="323"/>
      <c r="DB108" s="323"/>
      <c r="DC108" s="323"/>
      <c r="DD108" s="323"/>
      <c r="DE108" s="323"/>
      <c r="DF108" s="323"/>
      <c r="DG108" s="323"/>
      <c r="DH108" s="323"/>
      <c r="DI108" s="323"/>
      <c r="DJ108" s="323"/>
      <c r="DK108" s="323"/>
      <c r="DL108" s="323"/>
      <c r="DM108" s="323"/>
      <c r="DN108" s="323"/>
      <c r="DO108" s="323"/>
      <c r="DP108" s="323"/>
      <c r="DQ108" s="323"/>
      <c r="DR108" s="323"/>
      <c r="DS108" s="323"/>
      <c r="DT108" s="323"/>
      <c r="DU108" s="323"/>
      <c r="DV108" s="323"/>
      <c r="DW108" s="323"/>
      <c r="DX108" s="323"/>
      <c r="DY108" s="323"/>
      <c r="DZ108" s="323"/>
      <c r="EA108" s="323"/>
      <c r="EB108" s="323"/>
      <c r="EC108" s="323"/>
      <c r="ED108" s="323"/>
      <c r="EE108" s="323"/>
      <c r="EF108" s="323"/>
      <c r="EG108" s="323"/>
      <c r="EH108" s="250">
        <f t="shared" si="27"/>
        <v>4348115.9000000004</v>
      </c>
      <c r="EI108" s="250">
        <f t="shared" si="18"/>
        <v>0</v>
      </c>
      <c r="EJ108" s="250">
        <f t="shared" si="18"/>
        <v>4348115.9000000004</v>
      </c>
      <c r="EK108" s="204">
        <f t="shared" si="36"/>
        <v>4348115.9000000004</v>
      </c>
      <c r="EL108" s="204">
        <f t="shared" si="37"/>
        <v>0</v>
      </c>
      <c r="EM108" s="250">
        <f t="shared" si="38"/>
        <v>643591.38999999966</v>
      </c>
      <c r="EN108" s="204">
        <f t="shared" si="39"/>
        <v>0</v>
      </c>
      <c r="EO108" s="204">
        <f t="shared" si="40"/>
        <v>651884.09999999963</v>
      </c>
      <c r="EP108" s="323"/>
      <c r="EQ108" s="326">
        <v>44925</v>
      </c>
      <c r="ER108" s="310">
        <v>45015</v>
      </c>
      <c r="ES108" s="70"/>
      <c r="ET108" s="402" t="s">
        <v>1303</v>
      </c>
      <c r="EU108" s="385" t="s">
        <v>1237</v>
      </c>
      <c r="EV108" s="301"/>
      <c r="EW108" s="301"/>
      <c r="EX108" s="301"/>
      <c r="EY108" s="331">
        <f t="shared" si="31"/>
        <v>0.87106788266825641</v>
      </c>
      <c r="EZ108" s="405">
        <v>1</v>
      </c>
      <c r="FA108" s="347"/>
      <c r="FB108" s="347"/>
      <c r="FC108" s="369">
        <f t="shared" si="41"/>
        <v>0.87106788266825641</v>
      </c>
      <c r="FD108" s="403" t="s">
        <v>147</v>
      </c>
      <c r="FE108" s="290" t="s">
        <v>1094</v>
      </c>
      <c r="FF108" s="290"/>
      <c r="FG108" s="290" t="s">
        <v>177</v>
      </c>
      <c r="FH108" s="290" t="s">
        <v>146</v>
      </c>
      <c r="FI108" s="328">
        <v>200</v>
      </c>
      <c r="FJ108" s="277" t="s">
        <v>1238</v>
      </c>
    </row>
    <row r="109" spans="1:166" ht="351" hidden="1" customHeight="1">
      <c r="A109" s="207"/>
      <c r="B109" s="75" t="s">
        <v>1113</v>
      </c>
      <c r="C109" s="75" t="s">
        <v>1200</v>
      </c>
      <c r="D109" s="380"/>
      <c r="E109" s="380"/>
      <c r="F109" s="20">
        <v>122206</v>
      </c>
      <c r="G109" s="301" t="s">
        <v>1114</v>
      </c>
      <c r="H109" s="335">
        <v>8438000</v>
      </c>
      <c r="I109" s="335">
        <v>8298160.7699999996</v>
      </c>
      <c r="J109" s="70" t="s">
        <v>885</v>
      </c>
      <c r="K109" s="70" t="s">
        <v>1152</v>
      </c>
      <c r="L109" s="70" t="s">
        <v>1153</v>
      </c>
      <c r="M109" s="20" t="s">
        <v>1154</v>
      </c>
      <c r="N109" s="70" t="s">
        <v>1155</v>
      </c>
      <c r="O109" s="20">
        <v>7711071733</v>
      </c>
      <c r="P109" s="207" t="s">
        <v>1174</v>
      </c>
      <c r="Q109" s="71"/>
      <c r="R109" s="72"/>
      <c r="S109" s="72"/>
      <c r="T109" s="72"/>
      <c r="U109" s="72"/>
      <c r="V109" s="73"/>
      <c r="W109" s="73">
        <v>44925</v>
      </c>
      <c r="X109" s="303">
        <v>7153586.8700000001</v>
      </c>
      <c r="Y109" s="303">
        <f t="shared" si="35"/>
        <v>8298160.7692</v>
      </c>
      <c r="Z109" s="250">
        <v>8298160.7699999996</v>
      </c>
      <c r="AA109" s="204">
        <f t="shared" si="30"/>
        <v>139839.23000000045</v>
      </c>
      <c r="AB109" s="250">
        <v>0</v>
      </c>
      <c r="AC109" s="250">
        <v>0</v>
      </c>
      <c r="AD109" s="250">
        <v>2156703.33</v>
      </c>
      <c r="AE109" s="250">
        <v>0</v>
      </c>
      <c r="AF109" s="308">
        <f>AD109-AE109</f>
        <v>2156703.33</v>
      </c>
      <c r="AG109" s="325">
        <v>45019</v>
      </c>
      <c r="AH109" s="323">
        <v>0</v>
      </c>
      <c r="AI109" s="250">
        <v>0</v>
      </c>
      <c r="AJ109" s="250">
        <f t="shared" si="42"/>
        <v>0</v>
      </c>
      <c r="AK109" s="309" t="s">
        <v>305</v>
      </c>
      <c r="AL109" s="250"/>
      <c r="AM109" s="250"/>
      <c r="AN109" s="250"/>
      <c r="AO109" s="309"/>
      <c r="AP109" s="250"/>
      <c r="AQ109" s="250"/>
      <c r="AR109" s="250"/>
      <c r="AS109" s="250"/>
      <c r="AT109" s="250"/>
      <c r="AU109" s="250"/>
      <c r="AV109" s="250"/>
      <c r="AW109" s="250"/>
      <c r="AX109" s="250"/>
      <c r="AY109" s="250"/>
      <c r="AZ109" s="250"/>
      <c r="BA109" s="250"/>
      <c r="BB109" s="250"/>
      <c r="BC109" s="250"/>
      <c r="BD109" s="250"/>
      <c r="BE109" s="250"/>
      <c r="BF109" s="250"/>
      <c r="BG109" s="250"/>
      <c r="BH109" s="250"/>
      <c r="BI109" s="250"/>
      <c r="BJ109" s="250"/>
      <c r="BK109" s="250"/>
      <c r="BL109" s="250"/>
      <c r="BM109" s="250"/>
      <c r="BN109" s="250"/>
      <c r="BO109" s="250"/>
      <c r="BP109" s="250"/>
      <c r="BQ109" s="250"/>
      <c r="BR109" s="250"/>
      <c r="BS109" s="250"/>
      <c r="BT109" s="250"/>
      <c r="BU109" s="250"/>
      <c r="BV109" s="250"/>
      <c r="BW109" s="250"/>
      <c r="BX109" s="250"/>
      <c r="BY109" s="250"/>
      <c r="BZ109" s="250"/>
      <c r="CA109" s="250"/>
      <c r="CB109" s="250"/>
      <c r="CC109" s="250"/>
      <c r="CD109" s="250"/>
      <c r="CE109" s="250"/>
      <c r="CF109" s="250"/>
      <c r="CG109" s="250"/>
      <c r="CH109" s="250"/>
      <c r="CI109" s="250"/>
      <c r="CJ109" s="250"/>
      <c r="CK109" s="250"/>
      <c r="CL109" s="250"/>
      <c r="CM109" s="250"/>
      <c r="CN109" s="250"/>
      <c r="CO109" s="250"/>
      <c r="CP109" s="250"/>
      <c r="CQ109" s="250"/>
      <c r="CR109" s="250"/>
      <c r="CS109" s="250"/>
      <c r="CT109" s="250"/>
      <c r="CU109" s="250"/>
      <c r="CV109" s="250"/>
      <c r="CW109" s="250"/>
      <c r="CX109" s="250"/>
      <c r="CY109" s="250"/>
      <c r="CZ109" s="250"/>
      <c r="DA109" s="250"/>
      <c r="DB109" s="250"/>
      <c r="DC109" s="250"/>
      <c r="DD109" s="250"/>
      <c r="DE109" s="250"/>
      <c r="DF109" s="250"/>
      <c r="DG109" s="250"/>
      <c r="DH109" s="250"/>
      <c r="DI109" s="250"/>
      <c r="DJ109" s="250"/>
      <c r="DK109" s="250"/>
      <c r="DL109" s="250"/>
      <c r="DM109" s="250"/>
      <c r="DN109" s="250"/>
      <c r="DO109" s="250"/>
      <c r="DP109" s="250"/>
      <c r="DQ109" s="250"/>
      <c r="DR109" s="250"/>
      <c r="DS109" s="250"/>
      <c r="DT109" s="250"/>
      <c r="DU109" s="250"/>
      <c r="DV109" s="250"/>
      <c r="DW109" s="250"/>
      <c r="DX109" s="250"/>
      <c r="DY109" s="250"/>
      <c r="DZ109" s="250"/>
      <c r="EA109" s="250"/>
      <c r="EB109" s="250"/>
      <c r="EC109" s="250"/>
      <c r="ED109" s="250"/>
      <c r="EE109" s="250"/>
      <c r="EF109" s="250"/>
      <c r="EG109" s="250"/>
      <c r="EH109" s="250">
        <f t="shared" si="27"/>
        <v>2156703.33</v>
      </c>
      <c r="EI109" s="250">
        <f t="shared" si="18"/>
        <v>0</v>
      </c>
      <c r="EJ109" s="250">
        <f t="shared" si="18"/>
        <v>2156703.33</v>
      </c>
      <c r="EK109" s="204">
        <f t="shared" si="36"/>
        <v>2156703.33</v>
      </c>
      <c r="EL109" s="204">
        <f t="shared" si="37"/>
        <v>0</v>
      </c>
      <c r="EM109" s="204">
        <f t="shared" si="38"/>
        <v>6141457.4399999995</v>
      </c>
      <c r="EN109" s="204">
        <f t="shared" si="39"/>
        <v>0</v>
      </c>
      <c r="EO109" s="204">
        <f t="shared" si="40"/>
        <v>6281296.6699999999</v>
      </c>
      <c r="EP109" s="250"/>
      <c r="EQ109" s="310">
        <v>44925</v>
      </c>
      <c r="ER109" s="310">
        <v>45015</v>
      </c>
      <c r="ES109" s="70"/>
      <c r="ET109" s="70"/>
      <c r="EU109" s="282"/>
      <c r="EV109" s="205">
        <v>45048</v>
      </c>
      <c r="EW109" s="70"/>
      <c r="EX109" s="70"/>
      <c r="EY109" s="331">
        <f t="shared" si="31"/>
        <v>0.25990136727611268</v>
      </c>
      <c r="EZ109" s="350">
        <v>0.25990000000000002</v>
      </c>
      <c r="FA109" s="346"/>
      <c r="FB109" s="346"/>
      <c r="FC109" s="337">
        <f t="shared" si="41"/>
        <v>0.25990136727611268</v>
      </c>
      <c r="FD109" s="344" t="s">
        <v>307</v>
      </c>
      <c r="FE109" s="20" t="s">
        <v>171</v>
      </c>
      <c r="FF109" s="20"/>
      <c r="FG109" s="20" t="s">
        <v>138</v>
      </c>
      <c r="FH109" s="20" t="s">
        <v>148</v>
      </c>
      <c r="FI109" s="74">
        <v>5000</v>
      </c>
      <c r="FJ109" s="277" t="s">
        <v>1320</v>
      </c>
    </row>
    <row r="110" spans="1:166" ht="259.5" hidden="1" customHeight="1">
      <c r="A110" s="207"/>
      <c r="B110" s="75" t="s">
        <v>1113</v>
      </c>
      <c r="C110" s="75" t="s">
        <v>1200</v>
      </c>
      <c r="D110" s="380"/>
      <c r="E110" s="380"/>
      <c r="F110" s="20">
        <v>122207</v>
      </c>
      <c r="G110" s="301" t="s">
        <v>1148</v>
      </c>
      <c r="H110" s="335">
        <v>4300000</v>
      </c>
      <c r="I110" s="335">
        <v>3354218.57</v>
      </c>
      <c r="J110" s="70" t="s">
        <v>885</v>
      </c>
      <c r="K110" s="70" t="s">
        <v>716</v>
      </c>
      <c r="L110" s="70" t="s">
        <v>189</v>
      </c>
      <c r="M110" s="20" t="s">
        <v>190</v>
      </c>
      <c r="N110" s="70" t="s">
        <v>725</v>
      </c>
      <c r="O110" s="20" t="s">
        <v>726</v>
      </c>
      <c r="P110" s="207" t="s">
        <v>1176</v>
      </c>
      <c r="Q110" s="71"/>
      <c r="R110" s="72"/>
      <c r="S110" s="72"/>
      <c r="T110" s="72"/>
      <c r="U110" s="72"/>
      <c r="V110" s="73"/>
      <c r="W110" s="73">
        <v>44924</v>
      </c>
      <c r="X110" s="303">
        <v>2891567.73</v>
      </c>
      <c r="Y110" s="303">
        <f>X110*1.16</f>
        <v>3354218.5667999997</v>
      </c>
      <c r="Z110" s="250">
        <v>3354218.57</v>
      </c>
      <c r="AA110" s="204">
        <f t="shared" si="30"/>
        <v>945781.43000000017</v>
      </c>
      <c r="AB110" s="250">
        <v>1006265.57</v>
      </c>
      <c r="AC110" s="250"/>
      <c r="AD110" s="250"/>
      <c r="AE110" s="250"/>
      <c r="AF110" s="308"/>
      <c r="AG110" s="309"/>
      <c r="AH110" s="250"/>
      <c r="AI110" s="250"/>
      <c r="AJ110" s="250"/>
      <c r="AK110" s="309"/>
      <c r="AL110" s="250"/>
      <c r="AM110" s="250"/>
      <c r="AN110" s="250"/>
      <c r="AO110" s="309"/>
      <c r="AP110" s="250"/>
      <c r="AQ110" s="250"/>
      <c r="AR110" s="250"/>
      <c r="AS110" s="250"/>
      <c r="AT110" s="250"/>
      <c r="AU110" s="250"/>
      <c r="AV110" s="250"/>
      <c r="AW110" s="250"/>
      <c r="AX110" s="250"/>
      <c r="AY110" s="250"/>
      <c r="AZ110" s="250"/>
      <c r="BA110" s="250"/>
      <c r="BB110" s="250"/>
      <c r="BC110" s="250"/>
      <c r="BD110" s="250"/>
      <c r="BE110" s="250"/>
      <c r="BF110" s="250"/>
      <c r="BG110" s="250"/>
      <c r="BH110" s="250"/>
      <c r="BI110" s="250"/>
      <c r="BJ110" s="250"/>
      <c r="BK110" s="250"/>
      <c r="BL110" s="250"/>
      <c r="BM110" s="250"/>
      <c r="BN110" s="250"/>
      <c r="BO110" s="250"/>
      <c r="BP110" s="250"/>
      <c r="BQ110" s="250"/>
      <c r="BR110" s="250"/>
      <c r="BS110" s="250"/>
      <c r="BT110" s="250"/>
      <c r="BU110" s="250"/>
      <c r="BV110" s="250"/>
      <c r="BW110" s="250"/>
      <c r="BX110" s="250"/>
      <c r="BY110" s="250"/>
      <c r="BZ110" s="250"/>
      <c r="CA110" s="250"/>
      <c r="CB110" s="250"/>
      <c r="CC110" s="250"/>
      <c r="CD110" s="250"/>
      <c r="CE110" s="250"/>
      <c r="CF110" s="250"/>
      <c r="CG110" s="250"/>
      <c r="CH110" s="250"/>
      <c r="CI110" s="250"/>
      <c r="CJ110" s="250"/>
      <c r="CK110" s="250"/>
      <c r="CL110" s="250"/>
      <c r="CM110" s="250"/>
      <c r="CN110" s="250"/>
      <c r="CO110" s="250"/>
      <c r="CP110" s="250"/>
      <c r="CQ110" s="250"/>
      <c r="CR110" s="250"/>
      <c r="CS110" s="250"/>
      <c r="CT110" s="250"/>
      <c r="CU110" s="250"/>
      <c r="CV110" s="250"/>
      <c r="CW110" s="250"/>
      <c r="CX110" s="250"/>
      <c r="CY110" s="250"/>
      <c r="CZ110" s="250"/>
      <c r="DA110" s="250"/>
      <c r="DB110" s="250"/>
      <c r="DC110" s="250"/>
      <c r="DD110" s="250"/>
      <c r="DE110" s="250"/>
      <c r="DF110" s="250"/>
      <c r="DG110" s="250"/>
      <c r="DH110" s="250"/>
      <c r="DI110" s="250"/>
      <c r="DJ110" s="250"/>
      <c r="DK110" s="250"/>
      <c r="DL110" s="250"/>
      <c r="DM110" s="250"/>
      <c r="DN110" s="250"/>
      <c r="DO110" s="250"/>
      <c r="DP110" s="250"/>
      <c r="DQ110" s="250"/>
      <c r="DR110" s="250"/>
      <c r="DS110" s="250"/>
      <c r="DT110" s="250"/>
      <c r="DU110" s="250"/>
      <c r="DV110" s="250"/>
      <c r="DW110" s="250"/>
      <c r="DX110" s="250"/>
      <c r="DY110" s="250"/>
      <c r="DZ110" s="250"/>
      <c r="EA110" s="250"/>
      <c r="EB110" s="250"/>
      <c r="EC110" s="250"/>
      <c r="ED110" s="250"/>
      <c r="EE110" s="250"/>
      <c r="EF110" s="250"/>
      <c r="EG110" s="250"/>
      <c r="EH110" s="250">
        <f t="shared" si="27"/>
        <v>0</v>
      </c>
      <c r="EI110" s="250">
        <f t="shared" si="18"/>
        <v>0</v>
      </c>
      <c r="EJ110" s="250">
        <f t="shared" si="18"/>
        <v>0</v>
      </c>
      <c r="EK110" s="204">
        <f t="shared" si="36"/>
        <v>0</v>
      </c>
      <c r="EL110" s="204">
        <f t="shared" si="37"/>
        <v>0</v>
      </c>
      <c r="EM110" s="204">
        <f t="shared" si="38"/>
        <v>3354218.57</v>
      </c>
      <c r="EN110" s="204">
        <f t="shared" si="39"/>
        <v>0</v>
      </c>
      <c r="EO110" s="204">
        <f t="shared" si="40"/>
        <v>4300000</v>
      </c>
      <c r="EP110" s="250"/>
      <c r="EQ110" s="310">
        <v>44925</v>
      </c>
      <c r="ER110" s="310">
        <v>45015</v>
      </c>
      <c r="ES110" s="70"/>
      <c r="ET110" s="70"/>
      <c r="EU110" s="282"/>
      <c r="EV110" s="310">
        <v>45012</v>
      </c>
      <c r="EW110" s="70"/>
      <c r="EX110" s="70"/>
      <c r="EY110" s="331">
        <f t="shared" si="31"/>
        <v>0</v>
      </c>
      <c r="EZ110" s="345">
        <v>0</v>
      </c>
      <c r="FA110" s="346"/>
      <c r="FB110" s="346"/>
      <c r="FC110" s="337">
        <f t="shared" si="41"/>
        <v>0</v>
      </c>
      <c r="FD110" s="344" t="s">
        <v>307</v>
      </c>
      <c r="FE110" s="20" t="s">
        <v>1115</v>
      </c>
      <c r="FF110" s="20"/>
      <c r="FG110" s="20" t="s">
        <v>150</v>
      </c>
      <c r="FH110" s="20" t="s">
        <v>146</v>
      </c>
      <c r="FI110" s="74"/>
      <c r="FJ110" s="277" t="s">
        <v>1307</v>
      </c>
    </row>
    <row r="111" spans="1:166" ht="259.5" hidden="1" customHeight="1">
      <c r="A111" s="207"/>
      <c r="B111" s="75" t="s">
        <v>1113</v>
      </c>
      <c r="C111" s="75" t="s">
        <v>1200</v>
      </c>
      <c r="D111" s="380"/>
      <c r="E111" s="380"/>
      <c r="F111" s="20">
        <v>122208</v>
      </c>
      <c r="G111" s="301" t="s">
        <v>1151</v>
      </c>
      <c r="H111" s="335">
        <v>5000000</v>
      </c>
      <c r="I111" s="335">
        <v>4665973.7699999996</v>
      </c>
      <c r="J111" s="70" t="s">
        <v>885</v>
      </c>
      <c r="K111" s="70" t="s">
        <v>1144</v>
      </c>
      <c r="L111" s="70" t="s">
        <v>1145</v>
      </c>
      <c r="M111" s="20" t="s">
        <v>1146</v>
      </c>
      <c r="N111" s="70" t="s">
        <v>1147</v>
      </c>
      <c r="O111" s="20">
        <v>5555154776</v>
      </c>
      <c r="P111" s="207" t="s">
        <v>1178</v>
      </c>
      <c r="Q111" s="71"/>
      <c r="R111" s="72"/>
      <c r="S111" s="72"/>
      <c r="T111" s="72"/>
      <c r="U111" s="72"/>
      <c r="V111" s="321">
        <v>44924</v>
      </c>
      <c r="W111" s="73">
        <v>44925</v>
      </c>
      <c r="X111" s="303">
        <v>4022391.13</v>
      </c>
      <c r="Y111" s="303">
        <f>X111*1.16</f>
        <v>4665973.7107999995</v>
      </c>
      <c r="Z111" s="250">
        <v>4665973.71</v>
      </c>
      <c r="AA111" s="204">
        <f t="shared" si="30"/>
        <v>334026.29000000004</v>
      </c>
      <c r="AB111" s="250">
        <v>1399792.13</v>
      </c>
      <c r="AC111" s="250">
        <v>1399792.13</v>
      </c>
      <c r="AD111" s="250">
        <v>1936174.18</v>
      </c>
      <c r="AE111" s="250">
        <v>580852.25</v>
      </c>
      <c r="AF111" s="308">
        <f>AD111-AE111</f>
        <v>1355321.93</v>
      </c>
      <c r="AG111" s="309">
        <v>45009</v>
      </c>
      <c r="AH111" s="50">
        <v>2643279.87</v>
      </c>
      <c r="AI111" s="250">
        <v>818939.88</v>
      </c>
      <c r="AJ111" s="250">
        <f>AH111-AI111</f>
        <v>1824339.9900000002</v>
      </c>
      <c r="AK111" s="309">
        <v>45019</v>
      </c>
      <c r="AL111" s="250">
        <v>0</v>
      </c>
      <c r="AM111" s="250">
        <v>0</v>
      </c>
      <c r="AN111" s="250">
        <v>0</v>
      </c>
      <c r="AO111" s="309" t="s">
        <v>305</v>
      </c>
      <c r="AP111" s="250"/>
      <c r="AQ111" s="250"/>
      <c r="AR111" s="250"/>
      <c r="AS111" s="250"/>
      <c r="AT111" s="250"/>
      <c r="AU111" s="250"/>
      <c r="AV111" s="250"/>
      <c r="AW111" s="250"/>
      <c r="AX111" s="250"/>
      <c r="AY111" s="250"/>
      <c r="AZ111" s="250"/>
      <c r="BA111" s="250"/>
      <c r="BB111" s="250"/>
      <c r="BC111" s="250"/>
      <c r="BD111" s="250"/>
      <c r="BE111" s="250"/>
      <c r="BF111" s="250"/>
      <c r="BG111" s="250"/>
      <c r="BH111" s="250"/>
      <c r="BI111" s="250"/>
      <c r="BJ111" s="250"/>
      <c r="BK111" s="250"/>
      <c r="BL111" s="250"/>
      <c r="BM111" s="250"/>
      <c r="BN111" s="250"/>
      <c r="BO111" s="250"/>
      <c r="BP111" s="250"/>
      <c r="BQ111" s="250"/>
      <c r="BR111" s="250"/>
      <c r="BS111" s="250"/>
      <c r="BT111" s="250"/>
      <c r="BU111" s="250"/>
      <c r="BV111" s="250"/>
      <c r="BW111" s="250"/>
      <c r="BX111" s="250"/>
      <c r="BY111" s="250"/>
      <c r="BZ111" s="250"/>
      <c r="CA111" s="250"/>
      <c r="CB111" s="250"/>
      <c r="CC111" s="250"/>
      <c r="CD111" s="250"/>
      <c r="CE111" s="250"/>
      <c r="CF111" s="250"/>
      <c r="CG111" s="250"/>
      <c r="CH111" s="250"/>
      <c r="CI111" s="250"/>
      <c r="CJ111" s="250"/>
      <c r="CK111" s="250"/>
      <c r="CL111" s="250"/>
      <c r="CM111" s="250"/>
      <c r="CN111" s="250"/>
      <c r="CO111" s="250"/>
      <c r="CP111" s="250"/>
      <c r="CQ111" s="250"/>
      <c r="CR111" s="250"/>
      <c r="CS111" s="250"/>
      <c r="CT111" s="250"/>
      <c r="CU111" s="250"/>
      <c r="CV111" s="250"/>
      <c r="CW111" s="250"/>
      <c r="CX111" s="250"/>
      <c r="CY111" s="250"/>
      <c r="CZ111" s="250"/>
      <c r="DA111" s="250"/>
      <c r="DB111" s="250"/>
      <c r="DC111" s="250"/>
      <c r="DD111" s="250"/>
      <c r="DE111" s="250"/>
      <c r="DF111" s="250"/>
      <c r="DG111" s="250"/>
      <c r="DH111" s="250"/>
      <c r="DI111" s="250"/>
      <c r="DJ111" s="250"/>
      <c r="DK111" s="250"/>
      <c r="DL111" s="250"/>
      <c r="DM111" s="250"/>
      <c r="DN111" s="250"/>
      <c r="DO111" s="250"/>
      <c r="DP111" s="250"/>
      <c r="DQ111" s="250"/>
      <c r="DR111" s="250"/>
      <c r="DS111" s="250"/>
      <c r="DT111" s="250"/>
      <c r="DU111" s="250"/>
      <c r="DV111" s="250"/>
      <c r="DW111" s="250"/>
      <c r="DX111" s="250"/>
      <c r="DY111" s="250"/>
      <c r="DZ111" s="250"/>
      <c r="EA111" s="250"/>
      <c r="EB111" s="250"/>
      <c r="EC111" s="250"/>
      <c r="ED111" s="250"/>
      <c r="EE111" s="250"/>
      <c r="EF111" s="250"/>
      <c r="EG111" s="250"/>
      <c r="EH111" s="250">
        <f t="shared" si="27"/>
        <v>4579454.05</v>
      </c>
      <c r="EI111" s="250">
        <f t="shared" si="18"/>
        <v>1399792.13</v>
      </c>
      <c r="EJ111" s="250">
        <f t="shared" si="18"/>
        <v>3179661.92</v>
      </c>
      <c r="EK111" s="204">
        <f t="shared" si="36"/>
        <v>4579454.05</v>
      </c>
      <c r="EL111" s="204">
        <f t="shared" si="37"/>
        <v>0</v>
      </c>
      <c r="EM111" s="204">
        <f t="shared" si="38"/>
        <v>86519.660000000149</v>
      </c>
      <c r="EN111" s="204">
        <f t="shared" si="39"/>
        <v>1399792.13</v>
      </c>
      <c r="EO111" s="204">
        <f t="shared" si="40"/>
        <v>420545.95000000019</v>
      </c>
      <c r="EP111" s="250"/>
      <c r="EQ111" s="310">
        <v>44926</v>
      </c>
      <c r="ER111" s="310">
        <v>45015</v>
      </c>
      <c r="ES111" s="70"/>
      <c r="ET111" s="70"/>
      <c r="EU111" s="282"/>
      <c r="EV111" s="70"/>
      <c r="EW111" s="70"/>
      <c r="EX111" s="70"/>
      <c r="EY111" s="331">
        <f t="shared" si="31"/>
        <v>0.98145731944126191</v>
      </c>
      <c r="EZ111" s="406">
        <v>1</v>
      </c>
      <c r="FA111" s="346"/>
      <c r="FB111" s="346"/>
      <c r="FC111" s="337">
        <f t="shared" si="41"/>
        <v>0.98145731944126191</v>
      </c>
      <c r="FD111" s="403" t="s">
        <v>147</v>
      </c>
      <c r="FE111" s="20" t="s">
        <v>235</v>
      </c>
      <c r="FF111" s="20"/>
      <c r="FG111" s="20" t="s">
        <v>177</v>
      </c>
      <c r="FH111" s="351" t="s">
        <v>169</v>
      </c>
      <c r="FI111" s="74">
        <v>250</v>
      </c>
      <c r="FJ111" s="277" t="s">
        <v>962</v>
      </c>
    </row>
    <row r="112" spans="1:166" ht="259.5" hidden="1" customHeight="1">
      <c r="A112" s="207"/>
      <c r="B112" s="75" t="s">
        <v>1113</v>
      </c>
      <c r="C112" s="75"/>
      <c r="D112" s="53"/>
      <c r="E112" s="53"/>
      <c r="F112" s="20">
        <v>122209</v>
      </c>
      <c r="G112" s="301" t="s">
        <v>1150</v>
      </c>
      <c r="H112" s="335">
        <v>4500000</v>
      </c>
      <c r="I112" s="335"/>
      <c r="J112" s="70" t="s">
        <v>885</v>
      </c>
      <c r="K112" s="70" t="s">
        <v>716</v>
      </c>
      <c r="L112" s="70" t="s">
        <v>189</v>
      </c>
      <c r="M112" s="20" t="s">
        <v>190</v>
      </c>
      <c r="N112" s="70" t="s">
        <v>725</v>
      </c>
      <c r="O112" s="20" t="s">
        <v>726</v>
      </c>
      <c r="P112" s="207" t="s">
        <v>1177</v>
      </c>
      <c r="Q112" s="71"/>
      <c r="R112" s="72"/>
      <c r="S112" s="72"/>
      <c r="T112" s="72"/>
      <c r="U112" s="72"/>
      <c r="V112" s="321">
        <v>44924</v>
      </c>
      <c r="W112" s="73">
        <v>45290</v>
      </c>
      <c r="X112" s="303">
        <v>3873265.59</v>
      </c>
      <c r="Y112" s="303">
        <f>X112*1.16</f>
        <v>4492988.0843999991</v>
      </c>
      <c r="Z112" s="250">
        <v>4492988.08</v>
      </c>
      <c r="AA112" s="204">
        <f t="shared" si="30"/>
        <v>7011.9199999999255</v>
      </c>
      <c r="AB112" s="250">
        <v>0</v>
      </c>
      <c r="AC112" s="250">
        <v>0</v>
      </c>
      <c r="AD112" s="250">
        <v>496282.66</v>
      </c>
      <c r="AE112" s="250">
        <v>0</v>
      </c>
      <c r="AF112" s="308">
        <f>AD112-AE112</f>
        <v>496282.66</v>
      </c>
      <c r="AG112" s="309">
        <v>45002</v>
      </c>
      <c r="AH112" s="50">
        <v>543470.65</v>
      </c>
      <c r="AI112" s="250">
        <v>0</v>
      </c>
      <c r="AJ112" s="250">
        <f>AH112-AI112</f>
        <v>543470.65</v>
      </c>
      <c r="AK112" s="309">
        <v>45002</v>
      </c>
      <c r="AL112" s="250">
        <v>374428.47</v>
      </c>
      <c r="AM112" s="250">
        <v>0</v>
      </c>
      <c r="AN112" s="250">
        <f>AL112-AM112</f>
        <v>374428.47</v>
      </c>
      <c r="AO112" s="309"/>
      <c r="AP112" s="250">
        <v>2486699.1</v>
      </c>
      <c r="AQ112" s="250">
        <v>0</v>
      </c>
      <c r="AR112" s="250">
        <f>AP112-AQ112</f>
        <v>2486699.1</v>
      </c>
      <c r="AS112" s="250"/>
      <c r="AT112" s="250"/>
      <c r="AU112" s="250"/>
      <c r="AV112" s="250"/>
      <c r="AW112" s="250"/>
      <c r="AX112" s="250"/>
      <c r="AY112" s="250"/>
      <c r="AZ112" s="250"/>
      <c r="BA112" s="250"/>
      <c r="BB112" s="250"/>
      <c r="BC112" s="250"/>
      <c r="BD112" s="250"/>
      <c r="BE112" s="250"/>
      <c r="BF112" s="250"/>
      <c r="BG112" s="250"/>
      <c r="BH112" s="250"/>
      <c r="BI112" s="250"/>
      <c r="BJ112" s="250"/>
      <c r="BK112" s="250"/>
      <c r="BL112" s="250"/>
      <c r="BM112" s="250"/>
      <c r="BN112" s="250"/>
      <c r="BO112" s="250"/>
      <c r="BP112" s="250"/>
      <c r="BQ112" s="250"/>
      <c r="BR112" s="250"/>
      <c r="BS112" s="250"/>
      <c r="BT112" s="250"/>
      <c r="BU112" s="250"/>
      <c r="BV112" s="250"/>
      <c r="BW112" s="250"/>
      <c r="BX112" s="250"/>
      <c r="BY112" s="250"/>
      <c r="BZ112" s="250"/>
      <c r="CA112" s="250"/>
      <c r="CB112" s="250"/>
      <c r="CC112" s="250"/>
      <c r="CD112" s="250"/>
      <c r="CE112" s="250"/>
      <c r="CF112" s="250"/>
      <c r="CG112" s="250"/>
      <c r="CH112" s="250"/>
      <c r="CI112" s="250"/>
      <c r="CJ112" s="250"/>
      <c r="CK112" s="250"/>
      <c r="CL112" s="250"/>
      <c r="CM112" s="250"/>
      <c r="CN112" s="250"/>
      <c r="CO112" s="250"/>
      <c r="CP112" s="250"/>
      <c r="CQ112" s="250"/>
      <c r="CR112" s="250"/>
      <c r="CS112" s="250"/>
      <c r="CT112" s="250"/>
      <c r="CU112" s="250"/>
      <c r="CV112" s="250"/>
      <c r="CW112" s="250"/>
      <c r="CX112" s="250"/>
      <c r="CY112" s="250"/>
      <c r="CZ112" s="250"/>
      <c r="DA112" s="250"/>
      <c r="DB112" s="250"/>
      <c r="DC112" s="250"/>
      <c r="DD112" s="250"/>
      <c r="DE112" s="250"/>
      <c r="DF112" s="250"/>
      <c r="DG112" s="250"/>
      <c r="DH112" s="250"/>
      <c r="DI112" s="250"/>
      <c r="DJ112" s="250"/>
      <c r="DK112" s="250"/>
      <c r="DL112" s="250"/>
      <c r="DM112" s="250"/>
      <c r="DN112" s="250"/>
      <c r="DO112" s="250"/>
      <c r="DP112" s="250"/>
      <c r="DQ112" s="250"/>
      <c r="DR112" s="250"/>
      <c r="DS112" s="250"/>
      <c r="DT112" s="250"/>
      <c r="DU112" s="250"/>
      <c r="DV112" s="250"/>
      <c r="DW112" s="250"/>
      <c r="DX112" s="250"/>
      <c r="DY112" s="250"/>
      <c r="DZ112" s="250"/>
      <c r="EA112" s="250"/>
      <c r="EB112" s="250"/>
      <c r="EC112" s="250"/>
      <c r="ED112" s="250"/>
      <c r="EE112" s="250"/>
      <c r="EF112" s="250"/>
      <c r="EG112" s="250"/>
      <c r="EH112" s="250">
        <f t="shared" si="27"/>
        <v>3900880.88</v>
      </c>
      <c r="EI112" s="250">
        <f t="shared" si="18"/>
        <v>0</v>
      </c>
      <c r="EJ112" s="250">
        <f t="shared" si="18"/>
        <v>3900880.88</v>
      </c>
      <c r="EK112" s="204">
        <f t="shared" si="36"/>
        <v>3900880.88</v>
      </c>
      <c r="EL112" s="204">
        <f t="shared" si="37"/>
        <v>0</v>
      </c>
      <c r="EM112" s="204">
        <f t="shared" si="38"/>
        <v>592107.20000000019</v>
      </c>
      <c r="EN112" s="204">
        <f t="shared" si="39"/>
        <v>0</v>
      </c>
      <c r="EO112" s="204">
        <f t="shared" si="40"/>
        <v>599119.12000000011</v>
      </c>
      <c r="EP112" s="250"/>
      <c r="EQ112" s="310">
        <v>44926</v>
      </c>
      <c r="ER112" s="310">
        <v>45015</v>
      </c>
      <c r="ES112" s="70"/>
      <c r="ET112" s="70"/>
      <c r="EU112" s="282"/>
      <c r="EV112" s="70"/>
      <c r="EW112" s="70"/>
      <c r="EX112" s="70"/>
      <c r="EY112" s="331">
        <f t="shared" si="31"/>
        <v>0.8682152746775148</v>
      </c>
      <c r="EZ112" s="345">
        <v>1</v>
      </c>
      <c r="FA112" s="346"/>
      <c r="FB112" s="346"/>
      <c r="FC112" s="337">
        <f t="shared" si="41"/>
        <v>0.8682152746775148</v>
      </c>
      <c r="FD112" s="409" t="s">
        <v>147</v>
      </c>
      <c r="FE112" s="20" t="s">
        <v>1116</v>
      </c>
      <c r="FF112" s="20"/>
      <c r="FG112" s="20" t="s">
        <v>154</v>
      </c>
      <c r="FH112" s="20" t="s">
        <v>146</v>
      </c>
      <c r="FI112" s="74">
        <v>1200</v>
      </c>
      <c r="FJ112" s="277" t="s">
        <v>1011</v>
      </c>
    </row>
    <row r="113" spans="1:166" ht="259.5" hidden="1" customHeight="1">
      <c r="A113" s="207"/>
      <c r="B113" s="75" t="s">
        <v>1113</v>
      </c>
      <c r="C113" s="75"/>
      <c r="D113" s="53"/>
      <c r="E113" s="53"/>
      <c r="F113" s="20">
        <v>122211</v>
      </c>
      <c r="G113" s="70" t="s">
        <v>1149</v>
      </c>
      <c r="H113" s="335">
        <v>4000000</v>
      </c>
      <c r="I113" s="335"/>
      <c r="J113" s="70" t="s">
        <v>885</v>
      </c>
      <c r="K113" s="70" t="s">
        <v>1117</v>
      </c>
      <c r="L113" s="70" t="s">
        <v>1118</v>
      </c>
      <c r="M113" s="20" t="s">
        <v>152</v>
      </c>
      <c r="N113" s="70" t="s">
        <v>187</v>
      </c>
      <c r="O113" s="20" t="s">
        <v>1119</v>
      </c>
      <c r="P113" s="207" t="s">
        <v>1175</v>
      </c>
      <c r="Q113" s="71"/>
      <c r="R113" s="72"/>
      <c r="S113" s="72"/>
      <c r="T113" s="72"/>
      <c r="U113" s="72"/>
      <c r="V113" s="73"/>
      <c r="W113" s="73">
        <v>44924</v>
      </c>
      <c r="X113" s="303">
        <v>3443967.67</v>
      </c>
      <c r="Y113" s="303">
        <f>X113*1.16</f>
        <v>3995002.4971999996</v>
      </c>
      <c r="Z113" s="250">
        <v>3995002.5</v>
      </c>
      <c r="AA113" s="204">
        <f t="shared" si="30"/>
        <v>4997.5</v>
      </c>
      <c r="AB113" s="250">
        <v>1198500.75</v>
      </c>
      <c r="AC113" s="250">
        <v>1198500.75</v>
      </c>
      <c r="AD113" s="250">
        <v>1579098.99</v>
      </c>
      <c r="AE113" s="250">
        <v>473729.7</v>
      </c>
      <c r="AF113" s="308">
        <f>AD113-AE113</f>
        <v>1105369.29</v>
      </c>
      <c r="AG113" s="309">
        <v>44985</v>
      </c>
      <c r="AH113" s="50">
        <v>2141257.0299999998</v>
      </c>
      <c r="AI113" s="50">
        <v>642377.11</v>
      </c>
      <c r="AJ113" s="250">
        <f>AH113-AI113</f>
        <v>1498879.92</v>
      </c>
      <c r="AK113" s="309">
        <v>45019</v>
      </c>
      <c r="AL113" s="250">
        <v>251184.82</v>
      </c>
      <c r="AM113" s="250">
        <v>82393.94</v>
      </c>
      <c r="AN113" s="250">
        <f>AL113-AM113</f>
        <v>168790.88</v>
      </c>
      <c r="AO113" s="309" t="s">
        <v>1279</v>
      </c>
      <c r="AP113" s="250"/>
      <c r="AQ113" s="250"/>
      <c r="AR113" s="250"/>
      <c r="AS113" s="250"/>
      <c r="AT113" s="250"/>
      <c r="AU113" s="250"/>
      <c r="AV113" s="250"/>
      <c r="AW113" s="250"/>
      <c r="AX113" s="250"/>
      <c r="AY113" s="250"/>
      <c r="AZ113" s="250"/>
      <c r="BA113" s="250"/>
      <c r="BB113" s="250"/>
      <c r="BC113" s="250"/>
      <c r="BD113" s="250"/>
      <c r="BE113" s="250"/>
      <c r="BF113" s="250"/>
      <c r="BG113" s="250"/>
      <c r="BH113" s="250"/>
      <c r="BI113" s="250"/>
      <c r="BJ113" s="250"/>
      <c r="BK113" s="250"/>
      <c r="BL113" s="250"/>
      <c r="BM113" s="250"/>
      <c r="BN113" s="250"/>
      <c r="BO113" s="250"/>
      <c r="BP113" s="250"/>
      <c r="BQ113" s="250"/>
      <c r="BR113" s="250"/>
      <c r="BS113" s="250"/>
      <c r="BT113" s="250"/>
      <c r="BU113" s="250"/>
      <c r="BV113" s="250"/>
      <c r="BW113" s="250"/>
      <c r="BX113" s="250"/>
      <c r="BY113" s="250"/>
      <c r="BZ113" s="250"/>
      <c r="CA113" s="250"/>
      <c r="CB113" s="250"/>
      <c r="CC113" s="250"/>
      <c r="CD113" s="250"/>
      <c r="CE113" s="250"/>
      <c r="CF113" s="250"/>
      <c r="CG113" s="250"/>
      <c r="CH113" s="250"/>
      <c r="CI113" s="250"/>
      <c r="CJ113" s="250"/>
      <c r="CK113" s="250"/>
      <c r="CL113" s="250"/>
      <c r="CM113" s="250"/>
      <c r="CN113" s="250"/>
      <c r="CO113" s="250"/>
      <c r="CP113" s="250"/>
      <c r="CQ113" s="250"/>
      <c r="CR113" s="250"/>
      <c r="CS113" s="250"/>
      <c r="CT113" s="250"/>
      <c r="CU113" s="250"/>
      <c r="CV113" s="250"/>
      <c r="CW113" s="250"/>
      <c r="CX113" s="250"/>
      <c r="CY113" s="250"/>
      <c r="CZ113" s="250"/>
      <c r="DA113" s="250"/>
      <c r="DB113" s="250"/>
      <c r="DC113" s="250"/>
      <c r="DD113" s="250"/>
      <c r="DE113" s="250"/>
      <c r="DF113" s="250"/>
      <c r="DG113" s="250"/>
      <c r="DH113" s="250"/>
      <c r="DI113" s="250"/>
      <c r="DJ113" s="250"/>
      <c r="DK113" s="250"/>
      <c r="DL113" s="250"/>
      <c r="DM113" s="250"/>
      <c r="DN113" s="250"/>
      <c r="DO113" s="250"/>
      <c r="DP113" s="250"/>
      <c r="DQ113" s="250"/>
      <c r="DR113" s="250"/>
      <c r="DS113" s="250"/>
      <c r="DT113" s="250"/>
      <c r="DU113" s="250"/>
      <c r="DV113" s="250"/>
      <c r="DW113" s="250"/>
      <c r="DX113" s="250"/>
      <c r="DY113" s="250"/>
      <c r="DZ113" s="250"/>
      <c r="EA113" s="250"/>
      <c r="EB113" s="250"/>
      <c r="EC113" s="250"/>
      <c r="ED113" s="250"/>
      <c r="EE113" s="250"/>
      <c r="EF113" s="250"/>
      <c r="EG113" s="250"/>
      <c r="EH113" s="250">
        <f t="shared" si="27"/>
        <v>3971540.8399999994</v>
      </c>
      <c r="EI113" s="250">
        <f t="shared" si="18"/>
        <v>1198500.75</v>
      </c>
      <c r="EJ113" s="250">
        <f t="shared" si="18"/>
        <v>2773040.09</v>
      </c>
      <c r="EK113" s="204">
        <f t="shared" si="36"/>
        <v>3971540.84</v>
      </c>
      <c r="EL113" s="204">
        <f t="shared" si="37"/>
        <v>0</v>
      </c>
      <c r="EM113" s="204">
        <f t="shared" si="38"/>
        <v>23461.660000000615</v>
      </c>
      <c r="EN113" s="204">
        <f t="shared" si="39"/>
        <v>1198500.7499999995</v>
      </c>
      <c r="EO113" s="204">
        <f t="shared" si="40"/>
        <v>28459.160000000615</v>
      </c>
      <c r="EP113" s="250"/>
      <c r="EQ113" s="310">
        <v>44925</v>
      </c>
      <c r="ER113" s="310">
        <v>45014</v>
      </c>
      <c r="ES113" s="70"/>
      <c r="ET113" s="70"/>
      <c r="EU113" s="282"/>
      <c r="EV113" s="70"/>
      <c r="EW113" s="70"/>
      <c r="EX113" s="70" t="s">
        <v>1354</v>
      </c>
      <c r="EY113" s="331">
        <f t="shared" si="31"/>
        <v>0.99412724773013272</v>
      </c>
      <c r="EZ113" s="345">
        <v>1</v>
      </c>
      <c r="FA113" s="346"/>
      <c r="FB113" s="346"/>
      <c r="FC113" s="337">
        <f t="shared" si="41"/>
        <v>0.99412724773013283</v>
      </c>
      <c r="FD113" s="344" t="s">
        <v>147</v>
      </c>
      <c r="FE113" s="20" t="s">
        <v>192</v>
      </c>
      <c r="FF113" s="20"/>
      <c r="FG113" s="20" t="s">
        <v>154</v>
      </c>
      <c r="FH113" s="20" t="s">
        <v>169</v>
      </c>
      <c r="FI113" s="74">
        <v>400</v>
      </c>
      <c r="FJ113" s="277" t="s">
        <v>1280</v>
      </c>
    </row>
    <row r="114" spans="1:166" ht="36" hidden="1" customHeight="1">
      <c r="A114" s="281"/>
      <c r="B114" s="26"/>
      <c r="G114" s="279"/>
      <c r="H114" s="280" t="e">
        <f>H7+H79+H101+#REF!+#REF!+#REF!+#REF!+#REF!+#REF!+#REF!+#REF!+#REF!+#REF!+#REF!+#REF!+#REF!+#REF!+#REF!+#REF!+#REF!+#REF!+#REF!+#REF!+#REF!+#REF!+#REF!+#REF!+#REF!+#REF!+#REF!+#REF!+#REF!+#REF!+#REF!+#REF!+#REF!</f>
        <v>#REF!</v>
      </c>
      <c r="I114" s="280" t="e">
        <f>I7+I79+I101+#REF!+#REF!+#REF!+#REF!+#REF!+#REF!+#REF!+#REF!+#REF!+#REF!+#REF!+#REF!+#REF!+#REF!+#REF!+#REF!+#REF!+#REF!+#REF!+#REF!+#REF!+#REF!+#REF!+#REF!+#REF!+#REF!+#REF!+#REF!+#REF!+#REF!+#REF!+#REF!+#REF!</f>
        <v>#REF!</v>
      </c>
      <c r="J114" s="29"/>
      <c r="K114" s="29"/>
      <c r="L114" s="29"/>
      <c r="M114" s="29"/>
      <c r="N114" s="29"/>
      <c r="O114" s="29"/>
      <c r="P114" s="28" t="s">
        <v>1012</v>
      </c>
      <c r="Q114" s="29"/>
      <c r="R114" s="29"/>
      <c r="S114" s="29"/>
      <c r="T114" s="29"/>
      <c r="U114" s="29"/>
      <c r="V114" s="29"/>
      <c r="W114" s="28"/>
      <c r="X114" s="27" t="e">
        <f>X7+X79+X101+#REF!+#REF!+#REF!+#REF!+#REF!+#REF!+#REF!+#REF!+#REF!+#REF!+#REF!+#REF!+#REF!+#REF!+#REF!+#REF!+#REF!+#REF!+#REF!+#REF!+#REF!+#REF!+#REF!+#REF!+#REF!+#REF!+#REF!+#REF!+#REF!+#REF!+#REF!+#REF!+#REF!</f>
        <v>#REF!</v>
      </c>
      <c r="Y114" s="27" t="e">
        <f>Y7+Y79+Y101+#REF!+#REF!+#REF!+#REF!+#REF!+#REF!+#REF!+#REF!+#REF!+#REF!+#REF!+#REF!+#REF!+#REF!+#REF!+#REF!+#REF!+#REF!+#REF!+#REF!+#REF!+#REF!+#REF!+#REF!+#REF!+#REF!+#REF!+#REF!+#REF!+#REF!+#REF!+#REF!+#REF!</f>
        <v>#REF!</v>
      </c>
      <c r="Z114" s="27">
        <f t="shared" ref="Z114:AF114" si="43">Z7+Z8+Z9+Z10+Z11+Z12+Z20+Z23+Z27+Z32+Z36+Z74+Z75+Z76+Z77+Z78+Z79+Z80+Z81+Z82</f>
        <v>603483107.52999985</v>
      </c>
      <c r="AA114" s="27">
        <f t="shared" si="43"/>
        <v>-338469731.63999999</v>
      </c>
      <c r="AB114" s="27">
        <f t="shared" si="43"/>
        <v>39335059.43999999</v>
      </c>
      <c r="AC114" s="27">
        <f t="shared" si="43"/>
        <v>39335059.43999999</v>
      </c>
      <c r="AD114" s="27">
        <f t="shared" si="43"/>
        <v>85253372.299999997</v>
      </c>
      <c r="AE114" s="27">
        <f t="shared" si="43"/>
        <v>4421940.78</v>
      </c>
      <c r="AF114" s="27">
        <f t="shared" si="43"/>
        <v>80831431.519999981</v>
      </c>
      <c r="AG114" s="27"/>
      <c r="AH114" s="27">
        <f>AH7+AH8+AH9+AH10+AH11+AH12+AH20+AH23+AH27+AH32+AH36+AH74+AH75+AH76+AH77+AH78+AH79+AH80+AH81+AH82</f>
        <v>21562975.449999999</v>
      </c>
      <c r="AI114" s="27">
        <f>AI7+AI8+AI9+AI10+AI11+AI12+AI20+AI23+AI27+AI32+AI36+AI74+AI75+AI76+AI77+AI78+AI79+AI80+AI81+AI82</f>
        <v>2362406.5599999996</v>
      </c>
      <c r="AJ114" s="27">
        <f>AJ7+AJ8+AJ9+AJ10+AJ11+AJ12+AJ20+AJ23+AJ27+AJ32+AJ36+AJ74+AJ75+AJ76+AJ77+AJ78+AJ79+AJ80+AJ81+AJ82</f>
        <v>19200568.889999997</v>
      </c>
      <c r="AK114" s="27"/>
      <c r="AL114" s="27">
        <f>AL7+AL8+AL9+AL10+AL11+AL12+AL20+AL23+AL27+AL32+AL36+AL74+AL75+AL76+AL77+AL78+AL79+AL80+AL81+AL82</f>
        <v>32753807.200000003</v>
      </c>
      <c r="AM114" s="27">
        <f>AM7+AM8+AM9+AM10+AM11+AM12+AM20+AM23+AM27+AM32+AM36+AM74+AM75+AM76+AM77+AM78+AM79+AM80+AM81+AM82</f>
        <v>984492.2699999999</v>
      </c>
      <c r="AN114" s="27">
        <f>AN7+AN8+AN9+AN10+AN11+AN12+AN20+AN23+AN27+AN32+AN36+AN74+AN75+AN76+AN77+AN78+AN79+AN80+AN81+AN82</f>
        <v>31769314.93</v>
      </c>
      <c r="AO114" s="27"/>
      <c r="AP114" s="27">
        <f>AP7+AP8+AP9+AP10+AP11+AP12+AP20+AP23+AP27+AP32+AP36+AP74+AP75+AP76+AP77+AP78+AP79+AP80+AP81+AP82</f>
        <v>21647012.59</v>
      </c>
      <c r="AQ114" s="27">
        <f>AQ7+AQ8+AQ9+AQ10+AQ11+AQ12+AQ20+AQ23+AQ27+AQ32+AQ36+AQ74+AQ75+AQ76+AQ77+AQ78+AQ79+AQ80+AQ81+AQ82</f>
        <v>1573261.42</v>
      </c>
      <c r="AR114" s="27">
        <f>AR7+AR8+AR9+AR10+AR11+AR12+AR20+AR23+AR27+AR32+AR36+AR74+AR75+AR76+AR77+AR78+AR79+AR80+AR81+AR82</f>
        <v>20073751.170000002</v>
      </c>
      <c r="AS114" s="27"/>
      <c r="AT114" s="27">
        <f>AT7+AT8+AT9+AT10+AT11+AT12+AT20+AT23+AT27+AT32+AT36+AT74+AT75+AT76+AT77+AT78+AT79+AT80+AT81+AT82</f>
        <v>9792934.7699999996</v>
      </c>
      <c r="AU114" s="27">
        <f>AU7+AU8+AU9+AU10+AU11+AU12+AU20+AU23+AU27+AU32+AU36+AU74+AU75+AU76+AU77+AU78+AU79+AU80+AU81+AU82</f>
        <v>932475.66999999993</v>
      </c>
      <c r="AV114" s="27">
        <f>AV7+AV8+AV9+AV10+AV11+AV12+AV20+AV23+AV27+AV32+AV36+AV74+AV75+AV76+AV77+AV78+AV79+AV80+AV81+AV82</f>
        <v>8860459.1000000015</v>
      </c>
      <c r="AW114" s="27"/>
      <c r="AX114" s="27">
        <f>AX7+AX8+AX9+AX10+AX11+AX12+AX20+AX23+AX27+AX32+AX36+AX74+AX75+AX76+AX77+AX78+AX79+AX80+AX81+AX82</f>
        <v>7913310.7699999996</v>
      </c>
      <c r="AY114" s="27">
        <f>AY7+AY8+AY9+AY10+AY11+AY12+AY20+AY23+AY27+AY32+AY36+AY74+AY75+AY76+AY77+AY78+AY79+AY80+AY81+AY82</f>
        <v>534063.61</v>
      </c>
      <c r="AZ114" s="27">
        <f>AZ7+AZ8+AZ9+AZ10+AZ11+AZ12+AZ20+AZ23+AZ27+AZ32+AZ36+AZ74+AZ75+AZ76+AZ77+AZ78+AZ79+AZ80+AZ81+AZ82</f>
        <v>7379247.1600000001</v>
      </c>
      <c r="BA114" s="27"/>
      <c r="BB114" s="27">
        <f>BB7+BB8+BB9+BB10+BB11+BB12+BB20+BB23+BB27+BB32+BB36+BB74+BB75+BB76+BB77+BB78+BB79+BB80+BB81+BB82</f>
        <v>4241615.07</v>
      </c>
      <c r="BC114" s="27">
        <f>BC7+BC8+BC9+BC10+BC11+BC12+BC20+BC23+BC27+BC32+BC36+BC74+BC75+BC76+BC77+BC78+BC79+BC80+BC81+BC82</f>
        <v>0</v>
      </c>
      <c r="BD114" s="27">
        <f>BD7+BD8+BD9+BD10+BD11+BD12+BD20+BD23+BD27+BD32+BD36+BD74+BD75+BD76+BD77+BD78+BD79+BD80+BD81+BD82</f>
        <v>4241615.07</v>
      </c>
      <c r="BE114" s="27"/>
      <c r="BF114" s="27">
        <f>BF7+BF8+BF9+BF10+BF11+BF12+BF20+BF23+BF27+BF32+BF36+BF74+BF75+BF76+BF77+BF78+BF79+BF80+BF81+BF82</f>
        <v>3715755.03</v>
      </c>
      <c r="BG114" s="27">
        <f>BG7+BG8+BG9+BG10+BG11+BG12+BG20+BG23+BG27+BG32+BG36+BG74+BG75+BG76+BG77+BG78+BG79+BG80+BG81+BG82</f>
        <v>0</v>
      </c>
      <c r="BH114" s="27">
        <f>BH7+BH8+BH9+BH10+BH11+BH12+BH20+BH23+BH27+BH32+BH36+BH74+BH75+BH76+BH77+BH78+BH79+BH80+BH81+BH82</f>
        <v>3715755.03</v>
      </c>
      <c r="BI114" s="27"/>
      <c r="BJ114" s="27">
        <f>BJ7+BJ8+BJ9+BJ10+BJ11+BJ12+BJ20+BJ23+BJ27+BJ32+BJ36+BJ74+BJ75+BJ76+BJ77+BJ78+BJ79+BJ80+BJ81+BJ82</f>
        <v>4278246.1500000004</v>
      </c>
      <c r="BK114" s="27">
        <f>BK7+BK8+BK9+BK10+BK11+BK12+BK20+BK23+BK27+BK32+BK36+BK74+BK75+BK76+BK77+BK78+BK79+BK80+BK81+BK82</f>
        <v>0</v>
      </c>
      <c r="BL114" s="27">
        <f>BL7+BL8+BL9+BL10+BL11+BL12+BL20+BL23+BL27+BL32+BL36+BL74+BL75+BL76+BL77+BL78+BL79+BL80+BL81+BL82</f>
        <v>4278246.1500000004</v>
      </c>
      <c r="BM114" s="27"/>
      <c r="BN114" s="27">
        <f>BN7+BN8+BN9+BN10+BN11+BN12+BN20+BN23+BN27+BN32+BN36+BN74+BN75+BN76+BN77+BN78+BN79+BN80+BN81+BN82</f>
        <v>772068.04</v>
      </c>
      <c r="BO114" s="27">
        <f>BO7+BO8+BO9+BO10+BO11+BO12+BO20+BO23+BO27+BO32+BO36+BO74+BO75+BO76+BO77+BO78+BO79+BO80+BO81+BO82</f>
        <v>0</v>
      </c>
      <c r="BP114" s="27">
        <f>BP7+BP8+BP9+BP10+BP11+BP12+BP20+BP23+BP27+BP32+BP36+BP74+BP75+BP76+BP77+BP78+BP79+BP80+BP81+BP82</f>
        <v>772068.04</v>
      </c>
      <c r="BQ114" s="27"/>
      <c r="BR114" s="27">
        <f>BR7+BR8+BR9+BR10+BR11+BR12+BR20+BR23+BR27+BR32+BR36+BR74+BR75+BR76+BR77+BR78+BR79+BR80+BR81+BR82</f>
        <v>863822.56</v>
      </c>
      <c r="BS114" s="27">
        <f>BS7+BS8+BS9+BS10+BS11+BS12+BS20+BS23+BS27+BS32+BS36+BS74+BS75+BS76+BS77+BS78+BS79+BS80+BS81+BS82</f>
        <v>0</v>
      </c>
      <c r="BT114" s="27">
        <f>BT7+BT8+BT9+BT10+BT11+BT12+BT20+BT23+BT27+BT32+BT36+BT74+BT75+BT76+BT77+BT78+BT79+BT80+BT81+BT82</f>
        <v>863822.56</v>
      </c>
      <c r="BU114" s="27"/>
      <c r="BV114" s="27">
        <f>BV7+BV8+BV9+BV10+BV11+BV12+BV20+BV23+BV27+BV32+BV36+BV74+BV75+BV76+BV77+BV78+BV79+BV80+BV81+BV82</f>
        <v>1228898.6100000001</v>
      </c>
      <c r="BW114" s="27">
        <f>BW7+BW8+BW9+BW10+BW11+BW12+BW20+BW23+BW27+BW32+BW36+BW74+BW75+BW76+BW77+BW78+BW79+BW80+BW81+BW82</f>
        <v>0</v>
      </c>
      <c r="BX114" s="27">
        <f>BX7+BX8+BX9+BX10+BX11+BX12+BX20+BX23+BX27+BX32+BX36+BX74+BX75+BX76+BX77+BX78+BX79+BX80+BX81+BX82</f>
        <v>1228898.6100000001</v>
      </c>
      <c r="BY114" s="27"/>
      <c r="BZ114" s="27">
        <f>BZ7+BZ8+BZ9+BZ10+BZ11+BZ12+BZ20+BZ23+BZ27+BZ32+BZ36+BZ74+BZ75+BZ76+BZ77+BZ78+BZ79+BZ80+BZ81+BZ82</f>
        <v>0</v>
      </c>
      <c r="CA114" s="27">
        <f>CA7+CA8+CA9+CA10+CA11+CA12+CA20+CA23+CA27+CA32+CA36+CA74+CA75+CA76+CA77+CA78+CA79+CA80+CA81+CA82</f>
        <v>0</v>
      </c>
      <c r="CB114" s="27">
        <f>CB7+CB8+CB9+CB10+CB11+CB12+CB20+CB23+CB27+CB32+CB36+CB74+CB75+CB76+CB77+CB78+CB79+CB80+CB81+CB82</f>
        <v>0</v>
      </c>
      <c r="CC114" s="27"/>
      <c r="CD114" s="27">
        <f>CD7+CD8+CD9+CD10+CD11+CD12+CD20+CD23+CD27+CD32+CD36+CD74+CD75+CD76+CD77+CD78+CD79+CD80+CD81+CD82</f>
        <v>0</v>
      </c>
      <c r="CE114" s="27">
        <f>CE7+CE8+CE9+CE10+CE11+CE12+CE20+CE23+CE27+CE32+CE36+CE74+CE75+CE76+CE77+CE78+CE79+CE80+CE81+CE82</f>
        <v>0</v>
      </c>
      <c r="CF114" s="27">
        <f>CF7+CF8+CF9+CF10+CF11+CF12+CF20+CF23+CF27+CF32+CF36+CF74+CF75+CF76+CF77+CF78+CF79+CF80+CF81+CF82</f>
        <v>0</v>
      </c>
      <c r="CG114" s="27"/>
      <c r="CH114" s="27">
        <f>CH7+CH8+CH9+CH10+CH11+CH12+CH20+CH23+CH27+CH32+CH36+CH74+CH75+CH76+CH77+CH78+CH79+CH80+CH81+CH82</f>
        <v>0</v>
      </c>
      <c r="CI114" s="27">
        <f>CI7+CI8+CI9+CI10+CI11+CI12+CI20+CI23+CI27+CI32+CI36+CI74+CI75+CI76+CI77+CI78+CI79+CI80+CI81+CI82</f>
        <v>0</v>
      </c>
      <c r="CJ114" s="27">
        <f>CJ7+CJ8+CJ9+CJ10+CJ11+CJ12+CJ20+CJ23+CJ27+CJ32+CJ36+CJ74+CJ75+CJ76+CJ77+CJ78+CJ79+CJ80+CJ81+CJ82</f>
        <v>0</v>
      </c>
      <c r="CK114" s="27"/>
      <c r="CL114" s="27">
        <f>CL7+CL8+CL9+CL10+CL11+CL12+CL20+CL23+CL27+CL32+CL36+CL74+CL75+CL76+CL77+CL78+CL79+CL80+CL81+CL82</f>
        <v>0</v>
      </c>
      <c r="CM114" s="27">
        <f>CM7+CM8+CM9+CM10+CM11+CM12+CM20+CM23+CM27+CM32+CM36+CM74+CM75+CM76+CM77+CM78+CM79+CM80+CM81+CM82</f>
        <v>0</v>
      </c>
      <c r="CN114" s="27">
        <f>CN7+CN8+CN9+CN10+CN11+CN12+CN20+CN23+CN27+CN32+CN36+CN74+CN75+CN76+CN77+CN78+CN79+CN80+CN81+CN82</f>
        <v>0</v>
      </c>
      <c r="CO114" s="27"/>
      <c r="CP114" s="27">
        <f>CP7+CP8+CP9+CP10+CP11+CP12+CP20+CP23+CP27+CP32+CP36+CP74+CP75+CP76+CP77+CP78+CP79+CP80+CP81+CP82</f>
        <v>0</v>
      </c>
      <c r="CQ114" s="27">
        <f>CQ7+CQ8+CQ9+CQ10+CQ11+CQ12+CQ20+CQ23+CQ27+CQ32+CQ36+CQ74+CQ75+CQ76+CQ77+CQ78+CQ79+CQ80+CQ81+CQ82</f>
        <v>0</v>
      </c>
      <c r="CR114" s="27">
        <f>CR7+CR8+CR9+CR10+CR11+CR12+CR20+CR23+CR27+CR32+CR36+CR74+CR75+CR76+CR77+CR78+CR79+CR80+CR81+CR82</f>
        <v>0</v>
      </c>
      <c r="CS114" s="27"/>
      <c r="CT114" s="27">
        <f>CT7+CT8+CT9+CT10+CT11+CT12+CT20+CT23+CT27+CT32+CT36+CT74+CT75+CT76+CT77+CT78+CT79+CT80+CT81+CT82</f>
        <v>0</v>
      </c>
      <c r="CU114" s="27">
        <f>CU7+CU8+CU9+CU10+CU11+CU12+CU20+CU23+CU27+CU32+CU36+CU74+CU75+CU76+CU77+CU78+CU79+CU80+CU81+CU82</f>
        <v>0</v>
      </c>
      <c r="CV114" s="27">
        <f>CV7+CV8+CV9+CV10+CV11+CV12+CV20+CV23+CV27+CV32+CV36+CV74+CV75+CV76+CV77+CV78+CV79+CV80+CV81+CV82</f>
        <v>0</v>
      </c>
      <c r="CW114" s="27"/>
      <c r="CX114" s="27">
        <f t="shared" ref="CX114:EO114" si="44">CX7+CX8+CX9+CX10+CX11+CX12+CX20+CX23+CX27+CX32+CX36+CX74+CX75+CX76+CX77+CX78+CX79+CX80+CX81+CX82</f>
        <v>0</v>
      </c>
      <c r="CY114" s="27">
        <f t="shared" si="44"/>
        <v>0</v>
      </c>
      <c r="CZ114" s="27">
        <f t="shared" si="44"/>
        <v>0</v>
      </c>
      <c r="DA114" s="27">
        <f t="shared" si="44"/>
        <v>0</v>
      </c>
      <c r="DB114" s="27">
        <f t="shared" si="44"/>
        <v>0</v>
      </c>
      <c r="DC114" s="27">
        <f t="shared" si="44"/>
        <v>0</v>
      </c>
      <c r="DD114" s="27">
        <f t="shared" si="44"/>
        <v>0</v>
      </c>
      <c r="DE114" s="27">
        <f t="shared" si="44"/>
        <v>0</v>
      </c>
      <c r="DF114" s="27">
        <f t="shared" si="44"/>
        <v>0</v>
      </c>
      <c r="DG114" s="27">
        <f t="shared" si="44"/>
        <v>0</v>
      </c>
      <c r="DH114" s="27">
        <f t="shared" si="44"/>
        <v>0</v>
      </c>
      <c r="DI114" s="27">
        <f t="shared" si="44"/>
        <v>0</v>
      </c>
      <c r="DJ114" s="27">
        <f t="shared" si="44"/>
        <v>0</v>
      </c>
      <c r="DK114" s="27">
        <f t="shared" si="44"/>
        <v>0</v>
      </c>
      <c r="DL114" s="27">
        <f t="shared" si="44"/>
        <v>0</v>
      </c>
      <c r="DM114" s="27">
        <f t="shared" si="44"/>
        <v>0</v>
      </c>
      <c r="DN114" s="27">
        <f t="shared" si="44"/>
        <v>0</v>
      </c>
      <c r="DO114" s="27">
        <f t="shared" si="44"/>
        <v>0</v>
      </c>
      <c r="DP114" s="27">
        <f t="shared" si="44"/>
        <v>0</v>
      </c>
      <c r="DQ114" s="27">
        <f t="shared" si="44"/>
        <v>0</v>
      </c>
      <c r="DR114" s="27">
        <f t="shared" si="44"/>
        <v>0</v>
      </c>
      <c r="DS114" s="27">
        <f t="shared" si="44"/>
        <v>0</v>
      </c>
      <c r="DT114" s="27">
        <f t="shared" si="44"/>
        <v>0</v>
      </c>
      <c r="DU114" s="27">
        <f t="shared" si="44"/>
        <v>0</v>
      </c>
      <c r="DV114" s="27">
        <f t="shared" si="44"/>
        <v>0</v>
      </c>
      <c r="DW114" s="27">
        <f t="shared" si="44"/>
        <v>0</v>
      </c>
      <c r="DX114" s="27">
        <f t="shared" si="44"/>
        <v>0</v>
      </c>
      <c r="DY114" s="27">
        <f t="shared" si="44"/>
        <v>0</v>
      </c>
      <c r="DZ114" s="27">
        <f t="shared" si="44"/>
        <v>0</v>
      </c>
      <c r="EA114" s="27">
        <f t="shared" si="44"/>
        <v>0</v>
      </c>
      <c r="EB114" s="27">
        <f t="shared" si="44"/>
        <v>0</v>
      </c>
      <c r="EC114" s="27">
        <f t="shared" si="44"/>
        <v>0</v>
      </c>
      <c r="ED114" s="27">
        <f t="shared" si="44"/>
        <v>0</v>
      </c>
      <c r="EE114" s="27">
        <f t="shared" si="44"/>
        <v>0</v>
      </c>
      <c r="EF114" s="27">
        <f t="shared" si="44"/>
        <v>0</v>
      </c>
      <c r="EG114" s="27">
        <f t="shared" si="44"/>
        <v>0</v>
      </c>
      <c r="EH114" s="27" t="e">
        <f t="shared" si="44"/>
        <v>#REF!</v>
      </c>
      <c r="EI114" s="27" t="e">
        <f t="shared" si="44"/>
        <v>#REF!</v>
      </c>
      <c r="EJ114" s="27" t="e">
        <f t="shared" si="44"/>
        <v>#REF!</v>
      </c>
      <c r="EK114" s="27" t="e">
        <f t="shared" si="44"/>
        <v>#REF!</v>
      </c>
      <c r="EL114" s="27" t="e">
        <f t="shared" si="44"/>
        <v>#REF!</v>
      </c>
      <c r="EM114" s="27" t="e">
        <f t="shared" si="44"/>
        <v>#REF!</v>
      </c>
      <c r="EN114" s="27" t="e">
        <f t="shared" si="44"/>
        <v>#REF!</v>
      </c>
      <c r="EO114" s="27" t="e">
        <f t="shared" si="44"/>
        <v>#REF!</v>
      </c>
      <c r="EP114" s="29"/>
      <c r="EQ114" s="29"/>
      <c r="ER114" s="29"/>
      <c r="ES114" s="29"/>
      <c r="ET114" s="29"/>
      <c r="EU114" s="29"/>
      <c r="EV114" s="29"/>
      <c r="EW114" s="29"/>
      <c r="EX114" s="29"/>
      <c r="EY114" s="29"/>
      <c r="EZ114" s="29"/>
      <c r="FA114" s="283"/>
      <c r="FB114" s="285">
        <f t="shared" si="16"/>
        <v>0</v>
      </c>
      <c r="FC114" s="302" t="e">
        <f t="shared" si="41"/>
        <v>#REF!</v>
      </c>
      <c r="FD114" s="284"/>
      <c r="FE114" s="283"/>
      <c r="FF114" s="29"/>
      <c r="FG114" s="29"/>
      <c r="FH114" s="283"/>
      <c r="FI114" s="29"/>
      <c r="FJ114" s="29"/>
    </row>
    <row r="115" spans="1:166" ht="45" hidden="1" customHeight="1">
      <c r="A115" s="281"/>
      <c r="G115" s="279"/>
      <c r="H115" s="280" t="e">
        <f>H8+H80+H102+#REF!+#REF!+#REF!+#REF!+#REF!+#REF!+#REF!+#REF!+#REF!+#REF!+#REF!+#REF!+#REF!+#REF!+#REF!+#REF!+#REF!+#REF!+#REF!+#REF!+#REF!+#REF!+#REF!+#REF!+#REF!+#REF!+#REF!+#REF!+#REF!+#REF!+#REF!+#REF!+#REF!</f>
        <v>#REF!</v>
      </c>
      <c r="I115" s="280" t="e">
        <f>I8+I80+I102+#REF!+#REF!+#REF!+#REF!+#REF!+#REF!+#REF!+#REF!+#REF!+#REF!+#REF!+#REF!+#REF!+#REF!+#REF!+#REF!+#REF!+#REF!+#REF!+#REF!+#REF!+#REF!+#REF!+#REF!+#REF!+#REF!+#REF!+#REF!+#REF!+#REF!+#REF!+#REF!+#REF!</f>
        <v>#REF!</v>
      </c>
      <c r="J115" s="29"/>
      <c r="K115" s="29"/>
      <c r="L115" s="29"/>
      <c r="M115" s="29"/>
      <c r="N115" s="29"/>
      <c r="O115" s="29"/>
      <c r="P115" s="28" t="s">
        <v>132</v>
      </c>
      <c r="Q115" s="29"/>
      <c r="R115" s="29"/>
      <c r="S115" s="29"/>
      <c r="T115" s="29"/>
      <c r="U115" s="29"/>
      <c r="V115" s="29"/>
      <c r="W115" s="28"/>
      <c r="X115" s="27" t="e">
        <f>X8+X80+X102+#REF!+#REF!+#REF!+#REF!+#REF!+#REF!+#REF!+#REF!+#REF!+#REF!+#REF!+#REF!+#REF!+#REF!+#REF!+#REF!+#REF!+#REF!+#REF!+#REF!+#REF!+#REF!+#REF!+#REF!+#REF!+#REF!+#REF!+#REF!+#REF!+#REF!+#REF!+#REF!+#REF!</f>
        <v>#REF!</v>
      </c>
      <c r="Y115" s="27" t="e">
        <f>Y8+Y80+Y102+#REF!+#REF!+#REF!+#REF!+#REF!+#REF!+#REF!+#REF!+#REF!+#REF!+#REF!+#REF!+#REF!+#REF!+#REF!+#REF!+#REF!+#REF!+#REF!+#REF!+#REF!+#REF!+#REF!+#REF!+#REF!+#REF!+#REF!+#REF!+#REF!+#REF!+#REF!+#REF!+#REF!</f>
        <v>#REF!</v>
      </c>
      <c r="Z115" s="27">
        <f>Z39+Z40+Z41+Z42+Z43+Z44+Z45+Z46+Z47+Z48</f>
        <v>102290505.75</v>
      </c>
      <c r="AA115" s="27">
        <f t="shared" ref="AA115:BH115" si="45">AA39+AA40+AA41+AA42+AA43+AA44+AA45+AA46+AA47+AA48</f>
        <v>9209494.25</v>
      </c>
      <c r="AB115" s="27">
        <f t="shared" si="45"/>
        <v>23625080.509999998</v>
      </c>
      <c r="AC115" s="27">
        <f t="shared" si="45"/>
        <v>23625080.509999998</v>
      </c>
      <c r="AD115" s="27">
        <f t="shared" si="45"/>
        <v>26171784.649999999</v>
      </c>
      <c r="AE115" s="27">
        <f t="shared" si="45"/>
        <v>6245819.0099999998</v>
      </c>
      <c r="AF115" s="27">
        <f t="shared" si="45"/>
        <v>19925965.640000001</v>
      </c>
      <c r="AG115" s="27"/>
      <c r="AH115" s="27">
        <f t="shared" si="45"/>
        <v>20929169.780000001</v>
      </c>
      <c r="AI115" s="27">
        <f t="shared" si="45"/>
        <v>5546137.0600000005</v>
      </c>
      <c r="AJ115" s="27">
        <f t="shared" si="45"/>
        <v>15383032.719999999</v>
      </c>
      <c r="AK115" s="27"/>
      <c r="AL115" s="27">
        <f t="shared" si="45"/>
        <v>18282976.170000002</v>
      </c>
      <c r="AM115" s="27">
        <f t="shared" si="45"/>
        <v>6609597.9399999995</v>
      </c>
      <c r="AN115" s="27">
        <f t="shared" si="45"/>
        <v>11673378.229999999</v>
      </c>
      <c r="AO115" s="27"/>
      <c r="AP115" s="27">
        <f t="shared" si="45"/>
        <v>7973443</v>
      </c>
      <c r="AQ115" s="27">
        <f t="shared" si="45"/>
        <v>2154719.1800000002</v>
      </c>
      <c r="AR115" s="27">
        <f t="shared" si="45"/>
        <v>5818723.8199999994</v>
      </c>
      <c r="AS115" s="27"/>
      <c r="AT115" s="27">
        <f t="shared" si="45"/>
        <v>8521371.9499999993</v>
      </c>
      <c r="AU115" s="27">
        <f t="shared" si="45"/>
        <v>1100717.6400000001</v>
      </c>
      <c r="AV115" s="27">
        <f t="shared" si="45"/>
        <v>7420654.3100000005</v>
      </c>
      <c r="AW115" s="27"/>
      <c r="AX115" s="27">
        <f t="shared" si="45"/>
        <v>2659159.9900000002</v>
      </c>
      <c r="AY115" s="27">
        <f t="shared" si="45"/>
        <v>694760.61</v>
      </c>
      <c r="AZ115" s="27">
        <f t="shared" si="45"/>
        <v>1964399.3800000001</v>
      </c>
      <c r="BA115" s="27"/>
      <c r="BB115" s="27">
        <f t="shared" si="45"/>
        <v>4841292.59</v>
      </c>
      <c r="BC115" s="27">
        <f t="shared" si="45"/>
        <v>1273329.07</v>
      </c>
      <c r="BD115" s="27">
        <f t="shared" si="45"/>
        <v>3567963.5199999996</v>
      </c>
      <c r="BE115" s="27"/>
      <c r="BF115" s="27">
        <f t="shared" si="45"/>
        <v>2385902.62</v>
      </c>
      <c r="BG115" s="27">
        <f t="shared" si="45"/>
        <v>0</v>
      </c>
      <c r="BH115" s="27">
        <f t="shared" si="45"/>
        <v>2385902.62</v>
      </c>
      <c r="BI115" s="27"/>
      <c r="BJ115" s="27">
        <f>BJ39+BJ40+BJ41+BJ42+BJ43+BJ44+BJ45+BJ46+BJ47+BJ48</f>
        <v>1540768.0699999998</v>
      </c>
      <c r="BK115" s="27">
        <f>BK39+BK40+BK41+BK42+BK43+BK44+BK45+BK46+BK47+BK48</f>
        <v>0</v>
      </c>
      <c r="BL115" s="27">
        <f>BL39+BL40+BL41+BL42+BL43+BL44+BL45+BL46+BL47+BL48</f>
        <v>1540768.0699999998</v>
      </c>
      <c r="BM115" s="27"/>
      <c r="BN115" s="27">
        <f>BN39+BN40+BN41+BN42+BN43+BN44+BN45+BN46+BN47+BN48</f>
        <v>105339.14</v>
      </c>
      <c r="BO115" s="27">
        <f>BO39+BO40+BO41+BO42+BO43+BO44+BO45+BO46+BO47+BO48</f>
        <v>0</v>
      </c>
      <c r="BP115" s="27">
        <f>BP39+BP40+BP41+BP42+BP43+BP44+BP45+BP46+BP47+BP48</f>
        <v>105339.14</v>
      </c>
      <c r="BQ115" s="27"/>
      <c r="BR115" s="27">
        <f>BR39+BR40+BR41+BR42+BR43+BR44+BR45+BR46+BR47+BR48</f>
        <v>53000.03</v>
      </c>
      <c r="BS115" s="27">
        <f>BS39+BS40+BS41+BS42+BS43+BS44+BS45+BS46+BS47+BS48</f>
        <v>0</v>
      </c>
      <c r="BT115" s="27">
        <f>BT39+BT40+BT41+BT42+BT43+BT44+BT45+BT46+BT47+BT48</f>
        <v>53000.03</v>
      </c>
      <c r="BU115" s="27"/>
      <c r="BV115" s="27">
        <f>BV39+BV40+BV41+BV42+BV43+BV44+BV45+BV46+BV47+BV48</f>
        <v>0</v>
      </c>
      <c r="BW115" s="27">
        <f>BW39+BW40+BW41+BW42+BW43+BW44+BW45+BW46+BW47+BW48</f>
        <v>0</v>
      </c>
      <c r="BX115" s="27">
        <f>BX39+BX40+BX41+BX42+BX43+BX44+BX45+BX46+BX47+BX48</f>
        <v>0</v>
      </c>
      <c r="BY115" s="27"/>
      <c r="BZ115" s="27">
        <f>BZ39+BZ40+BZ41+BZ42+BZ43+BZ44+BZ45+BZ46+BZ47+BZ48</f>
        <v>0</v>
      </c>
      <c r="CA115" s="27">
        <f>CA39+CA40+CA41+CA42+CA43+CA44+CA45+CA46+CA47+CA48</f>
        <v>0</v>
      </c>
      <c r="CB115" s="27">
        <f>CB39+CB40+CB41+CB42+CB43+CB44+CB45+CB46+CB47+CB48</f>
        <v>0</v>
      </c>
      <c r="CC115" s="27"/>
      <c r="CD115" s="27">
        <f>CD39+CD40+CD41+CD42+CD43+CD44+CD45+CD46+CD47+CD48</f>
        <v>0</v>
      </c>
      <c r="CE115" s="27">
        <f>CE39+CE40+CE41+CE42+CE43+CE44+CE45+CE46+CE47+CE48</f>
        <v>0</v>
      </c>
      <c r="CF115" s="27">
        <f>CF39+CF40+CF41+CF42+CF43+CF44+CF45+CF46+CF47+CF48</f>
        <v>0</v>
      </c>
      <c r="CG115" s="27"/>
      <c r="CH115" s="27">
        <f>CH39+CH40+CH41+CH42+CH43+CH44+CH45+CH46+CH47+CH48</f>
        <v>0</v>
      </c>
      <c r="CI115" s="27">
        <f>CI39+CI40+CI41+CI42+CI43+CI44+CI45+CI46+CI47+CI48</f>
        <v>0</v>
      </c>
      <c r="CJ115" s="27">
        <f>CJ39+CJ40+CJ41+CJ42+CJ43+CJ44+CJ45+CJ46+CJ47+CJ48</f>
        <v>0</v>
      </c>
      <c r="CK115" s="27"/>
      <c r="CL115" s="27">
        <f>CL39+CL40+CL41+CL42+CL43+CL44+CL45+CL46+CL47+CL48</f>
        <v>0</v>
      </c>
      <c r="CM115" s="27">
        <f>CM39+CM40+CM41+CM42+CM43+CM44+CM45+CM46+CM47+CM48</f>
        <v>0</v>
      </c>
      <c r="CN115" s="27">
        <f>CN39+CN40+CN41+CN42+CN43+CN44+CN45+CN46+CN47+CN48</f>
        <v>0</v>
      </c>
      <c r="CO115" s="27"/>
      <c r="CP115" s="27">
        <f t="shared" ref="CP115:EG115" si="46">CP39+CP40+CP41+CP42+CP43+CP44+CP45+CP46+CP47+CP48</f>
        <v>0</v>
      </c>
      <c r="CQ115" s="27">
        <f t="shared" si="46"/>
        <v>0</v>
      </c>
      <c r="CR115" s="27">
        <f t="shared" si="46"/>
        <v>0</v>
      </c>
      <c r="CS115" s="27"/>
      <c r="CT115" s="27">
        <f t="shared" si="46"/>
        <v>0</v>
      </c>
      <c r="CU115" s="27">
        <f t="shared" si="46"/>
        <v>0</v>
      </c>
      <c r="CV115" s="27">
        <f t="shared" si="46"/>
        <v>0</v>
      </c>
      <c r="CW115" s="27"/>
      <c r="CX115" s="27">
        <f t="shared" si="46"/>
        <v>0</v>
      </c>
      <c r="CY115" s="27">
        <f t="shared" si="46"/>
        <v>0</v>
      </c>
      <c r="CZ115" s="27">
        <f t="shared" si="46"/>
        <v>0</v>
      </c>
      <c r="DA115" s="27">
        <f t="shared" si="46"/>
        <v>0</v>
      </c>
      <c r="DB115" s="27">
        <f t="shared" si="46"/>
        <v>0</v>
      </c>
      <c r="DC115" s="27">
        <f t="shared" si="46"/>
        <v>0</v>
      </c>
      <c r="DD115" s="27">
        <f t="shared" si="46"/>
        <v>0</v>
      </c>
      <c r="DE115" s="27">
        <f t="shared" si="46"/>
        <v>0</v>
      </c>
      <c r="DF115" s="27">
        <f t="shared" si="46"/>
        <v>0</v>
      </c>
      <c r="DG115" s="27">
        <f t="shared" si="46"/>
        <v>0</v>
      </c>
      <c r="DH115" s="27">
        <f t="shared" si="46"/>
        <v>0</v>
      </c>
      <c r="DI115" s="27">
        <f t="shared" si="46"/>
        <v>0</v>
      </c>
      <c r="DJ115" s="27">
        <f t="shared" si="46"/>
        <v>0</v>
      </c>
      <c r="DK115" s="27">
        <f t="shared" si="46"/>
        <v>0</v>
      </c>
      <c r="DL115" s="27">
        <f t="shared" si="46"/>
        <v>0</v>
      </c>
      <c r="DM115" s="27">
        <f t="shared" si="46"/>
        <v>0</v>
      </c>
      <c r="DN115" s="27">
        <f t="shared" si="46"/>
        <v>0</v>
      </c>
      <c r="DO115" s="27">
        <f t="shared" si="46"/>
        <v>0</v>
      </c>
      <c r="DP115" s="27">
        <f t="shared" si="46"/>
        <v>0</v>
      </c>
      <c r="DQ115" s="27">
        <f t="shared" si="46"/>
        <v>0</v>
      </c>
      <c r="DR115" s="27">
        <f t="shared" si="46"/>
        <v>0</v>
      </c>
      <c r="DS115" s="27">
        <f t="shared" si="46"/>
        <v>0</v>
      </c>
      <c r="DT115" s="27">
        <f t="shared" si="46"/>
        <v>0</v>
      </c>
      <c r="DU115" s="27">
        <f t="shared" si="46"/>
        <v>0</v>
      </c>
      <c r="DV115" s="27">
        <f t="shared" si="46"/>
        <v>0</v>
      </c>
      <c r="DW115" s="27">
        <f t="shared" si="46"/>
        <v>0</v>
      </c>
      <c r="DX115" s="27">
        <f t="shared" si="46"/>
        <v>0</v>
      </c>
      <c r="DY115" s="27">
        <f t="shared" si="46"/>
        <v>0</v>
      </c>
      <c r="DZ115" s="27">
        <f t="shared" si="46"/>
        <v>0</v>
      </c>
      <c r="EA115" s="27">
        <f t="shared" si="46"/>
        <v>0</v>
      </c>
      <c r="EB115" s="27">
        <f t="shared" si="46"/>
        <v>0</v>
      </c>
      <c r="EC115" s="27">
        <f t="shared" si="46"/>
        <v>0</v>
      </c>
      <c r="ED115" s="27">
        <f t="shared" si="46"/>
        <v>0</v>
      </c>
      <c r="EE115" s="27">
        <f t="shared" si="46"/>
        <v>0</v>
      </c>
      <c r="EF115" s="27">
        <f t="shared" si="46"/>
        <v>0</v>
      </c>
      <c r="EG115" s="27">
        <f t="shared" si="46"/>
        <v>0</v>
      </c>
      <c r="EH115" s="27">
        <f t="shared" ref="EH115:EJ118" si="47">AD115+AH115+AL115+AP115+AT115+AX115+BB115+BF115+BJ115+BN115+BR115+BV115+BZ115+CD115+CH115+CL115+CP115+CT115+CX115+DA115+DD115+DG115+DJ115+DM115+DP115+DS115+DV115+DY115+EB115+EE115</f>
        <v>93464207.989999995</v>
      </c>
      <c r="EI115" s="27">
        <f t="shared" si="47"/>
        <v>23625080.509999998</v>
      </c>
      <c r="EJ115" s="27">
        <f t="shared" si="47"/>
        <v>69839127.480000004</v>
      </c>
      <c r="EK115" s="27">
        <f>EH115+AC115-EI115</f>
        <v>93464207.99000001</v>
      </c>
      <c r="EL115" s="27">
        <f>AC115-EI115</f>
        <v>0</v>
      </c>
      <c r="EM115" s="27">
        <f>Z115-EH115</f>
        <v>8826297.7600000054</v>
      </c>
      <c r="EN115" s="27">
        <f>EH115-EJ115</f>
        <v>23625080.50999999</v>
      </c>
      <c r="EO115" s="27">
        <f>+AA115+EM115</f>
        <v>18035792.010000005</v>
      </c>
      <c r="EP115" s="29"/>
      <c r="EQ115" s="29"/>
      <c r="ER115" s="29"/>
      <c r="ES115" s="29"/>
      <c r="ET115" s="29"/>
      <c r="EU115" s="29"/>
      <c r="EV115" s="29"/>
      <c r="EW115" s="29"/>
      <c r="EX115" s="29"/>
      <c r="EY115" s="29"/>
      <c r="EZ115" s="29"/>
      <c r="FA115" s="283"/>
      <c r="FB115" s="285">
        <f>FA115-EZ115</f>
        <v>0</v>
      </c>
      <c r="FC115" s="30">
        <f t="shared" si="41"/>
        <v>0.91371342144331913</v>
      </c>
      <c r="FD115" s="284"/>
      <c r="FE115" s="283"/>
      <c r="FF115" s="29"/>
      <c r="FG115" s="29"/>
      <c r="FH115" s="283"/>
      <c r="FI115" s="29"/>
      <c r="FJ115" s="29"/>
    </row>
    <row r="116" spans="1:166" ht="42" hidden="1" customHeight="1">
      <c r="G116" s="279"/>
      <c r="H116" s="280" t="e">
        <f>H10+H82+H115+#REF!+#REF!+#REF!+#REF!+#REF!+#REF!+#REF!+#REF!+#REF!+#REF!+#REF!+#REF!+#REF!+#REF!+#REF!+#REF!+#REF!+#REF!+#REF!+#REF!+#REF!+#REF!+#REF!+#REF!+#REF!+#REF!+#REF!+#REF!+#REF!+#REF!+#REF!+#REF!+#REF!</f>
        <v>#REF!</v>
      </c>
      <c r="I116" s="280" t="e">
        <f>I10+I82+I115+#REF!+#REF!+#REF!+#REF!+#REF!+#REF!+#REF!+#REF!+#REF!+#REF!+#REF!+#REF!+#REF!+#REF!+#REF!+#REF!+#REF!+#REF!+#REF!+#REF!+#REF!+#REF!+#REF!+#REF!+#REF!+#REF!+#REF!+#REF!+#REF!+#REF!+#REF!+#REF!+#REF!</f>
        <v>#REF!</v>
      </c>
      <c r="J116" s="29"/>
      <c r="K116" s="29"/>
      <c r="L116" s="29"/>
      <c r="M116" s="29"/>
      <c r="N116" s="29"/>
      <c r="O116" s="29"/>
      <c r="P116" s="28" t="s">
        <v>253</v>
      </c>
      <c r="Q116" s="29"/>
      <c r="R116" s="29"/>
      <c r="S116" s="29"/>
      <c r="T116" s="29"/>
      <c r="U116" s="29"/>
      <c r="V116" s="29"/>
      <c r="W116" s="28"/>
      <c r="X116" s="27" t="e">
        <f>X10+X82+X115+#REF!+#REF!+#REF!+#REF!+#REF!+#REF!+#REF!+#REF!+#REF!+#REF!+#REF!+#REF!+#REF!+#REF!+#REF!+#REF!+#REF!+#REF!+#REF!+#REF!+#REF!+#REF!+#REF!+#REF!+#REF!+#REF!+#REF!+#REF!+#REF!+#REF!+#REF!+#REF!+#REF!</f>
        <v>#REF!</v>
      </c>
      <c r="Y116" s="27" t="e">
        <f>Y10+Y82+Y115+#REF!+#REF!+#REF!+#REF!+#REF!+#REF!+#REF!+#REF!+#REF!+#REF!+#REF!+#REF!+#REF!+#REF!+#REF!+#REF!+#REF!+#REF!+#REF!+#REF!+#REF!+#REF!+#REF!+#REF!+#REF!+#REF!+#REF!+#REF!+#REF!+#REF!+#REF!+#REF!+#REF!</f>
        <v>#REF!</v>
      </c>
      <c r="Z116" s="27">
        <f>+Z49+Z50+Z51+Z52+Z53+Z54+Z55+Z56+Z57+Z58+Z59+Z60+Z61+Z62+Z63+Z64+Z65+Z66+Z67+Z68+Z69+Z70+Z71+Z72+Z73</f>
        <v>264852004.16999999</v>
      </c>
      <c r="AA116" s="27">
        <f t="shared" ref="AA116:AF116" si="48">+AA49+AA50+AA51+AA52+AA53+AA54+AA55+AA56+AA57+AA58+AA59+AA60+AA61+AA62+AA63+AA64+AA65+AA66+AA67+AA68+AA69+AA70+AA71+AA72+AA73</f>
        <v>-113000</v>
      </c>
      <c r="AB116" s="27">
        <f t="shared" si="48"/>
        <v>40703085.559999995</v>
      </c>
      <c r="AC116" s="27">
        <f t="shared" si="48"/>
        <v>40703085.559999995</v>
      </c>
      <c r="AD116" s="27">
        <f t="shared" si="48"/>
        <v>33655417.850000001</v>
      </c>
      <c r="AE116" s="27">
        <f t="shared" si="48"/>
        <v>5444246.6200000001</v>
      </c>
      <c r="AF116" s="27">
        <f t="shared" si="48"/>
        <v>28211171.23</v>
      </c>
      <c r="AG116" s="27"/>
      <c r="AH116" s="27">
        <f>+AH49+AH50+AH51+AH52+AH53+AH54+AH55+AH56+AH57+AH58+AH59+AH60+AH61+AH62+AH63+AH64+AH65+AH66+AH67+AH68+AH69+AH70+AH71+AH72+AH73</f>
        <v>45572685.079999991</v>
      </c>
      <c r="AI116" s="27">
        <f>+AI49+AI50+AI51+AI52+AI53+AI54+AI55+AI56+AI57+AI58+AI59+AI60+AI61+AI62+AI63+AI64+AI65+AI66+AI67+AI68+AI69+AI70+AI71+AI72+AI73</f>
        <v>6339477.1200000001</v>
      </c>
      <c r="AJ116" s="27">
        <f>+AJ49+AJ50+AJ51+AJ52+AJ53+AJ54+AJ55+AJ56+AJ57+AJ58+AJ59+AJ60+AJ61+AJ62+AJ63+AJ64+AJ65+AJ66+AJ67+AJ68+AJ69+AJ70+AJ71+AJ72+AJ73</f>
        <v>39233207.959999993</v>
      </c>
      <c r="AK116" s="27"/>
      <c r="AL116" s="27">
        <f>+AL49+AL50+AL51+AL52+AL53+AL54+AL55+AL56+AL57+AL58+AL59+AL60+AL61+AL62+AL63+AL64+AL65+AL66+AL67+AL68+AL69+AL70+AL71+AL72+AL73</f>
        <v>47976103.139999993</v>
      </c>
      <c r="AM116" s="27">
        <f>+AM49+AM50+AM51+AM52+AM53+AM54+AM55+AM56+AM57+AM58+AM59+AM60+AM61+AM62+AM63+AM64+AM65+AM66+AM67+AM68+AM69+AM70+AM71+AM72+AM73</f>
        <v>6988442.7500000009</v>
      </c>
      <c r="AN116" s="27">
        <f>+AN49+AN50+AN51+AN52+AN53+AN54+AN55+AN56+AN57+AN58+AN59+AN60+AN61+AN62+AN63+AN64+AN65+AN66+AN67+AN68+AN69+AN70+AN71+AN72+AN73</f>
        <v>40987660.389999993</v>
      </c>
      <c r="AO116" s="27"/>
      <c r="AP116" s="27">
        <f>+AP49+AP50+AP51+AP52+AP53+AP54+AP55+AP56+AP57+AP58+AP59+AP60+AP61+AP62+AP63+AP64+AP65+AP66+AP67+AP68+AP69+AP70+AP71+AP72+AP73</f>
        <v>31339046.680000003</v>
      </c>
      <c r="AQ116" s="27">
        <f>+AQ49+AQ50+AQ51+AQ52+AQ53+AQ54+AQ55+AQ56+AQ57+AQ58+AQ59+AQ60+AQ61+AQ62+AQ63+AQ64+AQ65+AQ66+AQ67+AQ68+AQ69+AQ70+AQ71+AQ72+AQ73</f>
        <v>6301324.0899999999</v>
      </c>
      <c r="AR116" s="27">
        <f>+AR49+AR50+AR51+AR52+AR53+AR54+AR55+AR56+AR57+AR58+AR59+AR60+AR61+AR62+AR63+AR64+AR65+AR66+AR67+AR68+AR69+AR70+AR71+AR72+AR73</f>
        <v>24750545.119999997</v>
      </c>
      <c r="AS116" s="27"/>
      <c r="AT116" s="27">
        <f>+AT49+AT50+AT51+AT52+AT53+AT54+AT55+AT56+AT57+AT58+AT59+AT60+AT61+AT62+AT63+AT64+AT65+AT66+AT67+AT68+AT69+AT70+AT71+AT72+AT73</f>
        <v>26037050.850000001</v>
      </c>
      <c r="AU116" s="27">
        <f>+AU49+AU50+AU51+AU52+AU53+AU54+AU55+AU56+AU57+AU58+AU59+AU60+AU61+AU62+AU63+AU64+AU65+AU66+AU67+AU68+AU69+AU70+AU71+AU72+AU73</f>
        <v>4593172.1100000003</v>
      </c>
      <c r="AV116" s="27">
        <f>+AV49+AV50+AV51+AV52+AV53+AV54+AV55+AV56+AV57+AV58+AV59+AV60+AV61+AV62+AV63+AV64+AV65+AV66+AV67+AV68+AV69+AV70+AV71+AV72+AV73</f>
        <v>21443878.739999998</v>
      </c>
      <c r="AW116" s="27"/>
      <c r="AX116" s="27">
        <f>+AX49+AX50+AX51+AX52+AX53+AX54+AX55+AX56+AX57+AX58+AX59+AX60+AX61+AX62+AX63+AX64+AX65+AX66+AX67+AX68+AX69+AX70+AX71+AX72+AX73</f>
        <v>18902855.43</v>
      </c>
      <c r="AY116" s="27">
        <f>+AY49+AY50+AY51+AY52+AY53+AY54+AY55+AY56+AY57+AY58+AY59+AY60+AY61+AY62+AY63+AY64+AY65+AY66+AY67+AY68+AY69+AY70+AY71+AY72+AY73</f>
        <v>3385703.2399999998</v>
      </c>
      <c r="AZ116" s="27">
        <f>+AZ49+AZ50+AZ51+AZ52+AZ53+AZ54+AZ55+AZ56+AZ57+AZ58+AZ59+AZ60+AZ61+AZ62+AZ63+AZ64+AZ65+AZ66+AZ67+AZ68+AZ69+AZ70+AZ71+AZ72+AZ73</f>
        <v>15517152.189999999</v>
      </c>
      <c r="BA116" s="27"/>
      <c r="BB116" s="27">
        <f>+BB49+BB50+BB51+BB52+BB53+BB54+BB55+BB56+BB57+BB58+BB59+BB60+BB61+BB62+BB63+BB64+BB65+BB66+BB67+BB68+BB69+BB70+BB71+BB72+BB73</f>
        <v>12253934.49</v>
      </c>
      <c r="BC116" s="27">
        <f>+BC49+BC50+BC51+BC52+BC53+BC54+BC55+BC56+BC57+BC58+BC59+BC60+BC61+BC62+BC63+BC64+BC65+BC66+BC67+BC68+BC69+BC70+BC71+BC72+BC73</f>
        <v>2732856.64</v>
      </c>
      <c r="BD116" s="27">
        <f>+BD49+BD50+BD51+BD52+BD53+BD54+BD55+BD56+BD57+BD58+BD59+BD60+BD61+BD62+BD63+BD64+BD65+BD66+BD67+BD68+BD69+BD70+BD71+BD72+BD73</f>
        <v>9521077.8500000015</v>
      </c>
      <c r="BE116" s="27"/>
      <c r="BF116" s="27">
        <f>+BF49+BF50+BF51+BF52+BF53+BF54+BF55+BF56+BF57+BF58+BF59+BF60+BF61+BF62+BF63+BF64+BF65+BF66+BF67+BF68+BF69+BF70+BF71+BF72+BF73</f>
        <v>14309605.060000001</v>
      </c>
      <c r="BG116" s="27">
        <f>+BG49+BG50+BG51+BG52+BG53+BG54+BG55+BG56+BG57+BG58+BG59+BG60+BG61+BG62+BG63+BG64+BG65+BG66+BG67+BG68+BG69+BG70+BG71+BG72+BG73</f>
        <v>553128.17000000004</v>
      </c>
      <c r="BH116" s="27">
        <f>+BH49+BH50+BH51+BH52+BH53+BH54+BH55+BH56+BH57+BH58+BH59+BH60+BH61+BH62+BH63+BH64+BH65+BH66+BH67+BH68+BH69+BH70+BH71+BH72+BH73</f>
        <v>13756476.890000001</v>
      </c>
      <c r="BI116" s="27"/>
      <c r="BJ116" s="27">
        <f>+BJ49+BJ50+BJ51+BJ52+BJ53+BJ54+BJ55+BJ56+BJ57+BJ58+BJ59+BJ60+BJ61+BJ62+BJ63+BJ64+BJ65+BJ66+BJ67+BJ68+BJ69+BJ70+BJ71+BJ72+BJ73</f>
        <v>1929216.0899999999</v>
      </c>
      <c r="BK116" s="27">
        <f>+BK49+BK50+BK51+BK52+BK53+BK54+BK55+BK56+BK57+BK58+BK59+BK60+BK61+BK62+BK63+BK64+BK65+BK66+BK67+BK68+BK69+BK70+BK71+BK72+BK73</f>
        <v>103045</v>
      </c>
      <c r="BL116" s="27">
        <f>+BL49+BL50+BL51+BL52+BL53+BL54+BL55+BL56+BL57+BL58+BL59+BL60+BL61+BL62+BL63+BL64+BL65+BL66+BL67+BL68+BL69+BL70+BL71+BL72+BL73</f>
        <v>1826171.0899999999</v>
      </c>
      <c r="BM116" s="27"/>
      <c r="BN116" s="27">
        <f>+BN49+BN50+BN51+BN52+BN53+BN54+BN55+BN56+BN57+BN58+BN59+BN60+BN61+BN62+BN63+BN64+BN65+BN66+BN67+BN68+BN69+BN70+BN71+BN72+BN73</f>
        <v>254923.22000000003</v>
      </c>
      <c r="BO116" s="27">
        <f>+BO49+BO50+BO51+BO52+BO53+BO54+BO55+BO56+BO57+BO58+BO59+BO60+BO61+BO62+BO63+BO64+BO65+BO66+BO67+BO68+BO69+BO70+BO71+BO72+BO73</f>
        <v>61092.49</v>
      </c>
      <c r="BP116" s="27">
        <f>+BP49+BP50+BP51+BP52+BP53+BP54+BP55+BP56+BP57+BP58+BP59+BP60+BP61+BP62+BP63+BP64+BP65+BP66+BP67+BP68+BP69+BP70+BP71+BP72+BP73</f>
        <v>193830.73000000004</v>
      </c>
      <c r="BQ116" s="27"/>
      <c r="BR116" s="27">
        <f>+BR49+BR50+BR51+BR52+BR53+BR54+BR55+BR56+BR57+BR58+BR59+BR60+BR61+BR62+BR63+BR64+BR65+BR66+BR67+BR68+BR69+BR70+BR71+BR72+BR73</f>
        <v>300823.3</v>
      </c>
      <c r="BS116" s="27">
        <f>+BS49+BS50+BS51+BS52+BS53+BS54+BS55+BS56+BS57+BS58+BS59+BS60+BS61+BS62+BS63+BS64+BS65+BS66+BS67+BS68+BS69+BS70+BS71+BS72+BS73</f>
        <v>90246.99</v>
      </c>
      <c r="BT116" s="27">
        <f>+BT49+BT50+BT51+BT52+BT53+BT54+BT55+BT56+BT57+BT58+BT59+BT60+BT61+BT62+BT63+BT64+BT65+BT66+BT67+BT68+BT69+BT70+BT71+BT72+BT73</f>
        <v>210576.31</v>
      </c>
      <c r="BU116" s="27"/>
      <c r="BV116" s="27">
        <f>+BV49+BV50+BV51+BV52+BV53+BV54+BV55+BV56+BV57+BV58+BV59+BV60+BV61+BV62+BV63+BV64+BV65+BV66+BV67+BV68+BV69+BV70+BV71+BV72+BV73</f>
        <v>577635.56999999995</v>
      </c>
      <c r="BW116" s="27">
        <f>+BW49+BW50+BW51+BW52+BW53+BW54+BW55+BW56+BW57+BW58+BW59+BW60+BW61+BW62+BW63+BW64+BW65+BW66+BW67+BW68+BW69+BW70+BW71+BW72+BW73</f>
        <v>173290.67</v>
      </c>
      <c r="BX116" s="27">
        <f>+BX49+BX50+BX51+BX52+BX53+BX54+BX55+BX56+BX57+BX58+BX59+BX60+BX61+BX62+BX63+BX64+BX65+BX66+BX67+BX68+BX69+BX70+BX71+BX72+BX73</f>
        <v>404344.89999999991</v>
      </c>
      <c r="BY116" s="27"/>
      <c r="BZ116" s="27">
        <f>+BZ49+BZ50+BZ51+BZ52+BZ53+BZ54+BZ55+BZ56+BZ57+BZ58+BZ59+BZ60+BZ61+BZ62+BZ63+BZ64+BZ65+BZ66+BZ67+BZ68+BZ69+BZ70+BZ71+BZ72+BZ73</f>
        <v>681077.38</v>
      </c>
      <c r="CA116" s="27">
        <f>+CA49+CA50+CA51+CA52+CA53+CA54+CA55+CA56+CA57+CA58+CA59+CA60+CA61+CA62+CA63+CA64+CA65+CA66+CA67+CA68+CA69+CA70+CA71+CA72+CA73</f>
        <v>204323.21</v>
      </c>
      <c r="CB116" s="27">
        <f>+CB49+CB50+CB51+CB52+CB53+CB54+CB55+CB56+CB57+CB58+CB59+CB60+CB61+CB62+CB63+CB64+CB65+CB66+CB67+CB68+CB69+CB70+CB71+CB72+CB73</f>
        <v>476754.17000000004</v>
      </c>
      <c r="CC116" s="27"/>
      <c r="CD116" s="27">
        <f>+CD49+CD50+CD51+CD52+CD53+CD54+CD55+CD56+CD57+CD58+CD59+CD60+CD61+CD62+CD63+CD64+CD65+CD66+CD67+CD68+CD69+CD70+CD71+CD72+CD73</f>
        <v>228742.7</v>
      </c>
      <c r="CE116" s="27">
        <f>+CE49+CE50+CE51+CE52+CE53+CE54+CE55+CE56+CE57+CE58+CE59+CE60+CE61+CE62+CE63+CE64+CE65+CE66+CE67+CE68+CE69+CE70+CE71+CE72+CE73</f>
        <v>68622.81</v>
      </c>
      <c r="CF116" s="27">
        <f>+CF49+CF50+CF51+CF52+CF53+CF54+CF55+CF56+CF57+CF58+CF59+CF60+CF61+CF62+CF63+CF64+CF65+CF66+CF67+CF68+CF69+CF70+CF71+CF72+CF73</f>
        <v>160119.89000000001</v>
      </c>
      <c r="CG116" s="27"/>
      <c r="CH116" s="27">
        <f>+CH49+CH50+CH51+CH52+CH53+CH54+CH55+CH56+CH57+CH58+CH59+CH60+CH61+CH62+CH63+CH64+CH65+CH66+CH67+CH68+CH69+CH70+CH71+CH72+CH73</f>
        <v>280375.62</v>
      </c>
      <c r="CI116" s="27">
        <f>+CI49+CI50+CI51+CI52+CI53+CI54+CI55+CI56+CI57+CI58+CI59+CI60+CI61+CI62+CI63+CI64+CI65+CI66+CI67+CI68+CI69+CI70+CI71+CI72+CI73</f>
        <v>84123.22</v>
      </c>
      <c r="CJ116" s="27">
        <f>+CJ49+CJ50+CJ51+CJ52+CJ53+CJ54+CJ55+CJ56+CJ57+CJ58+CJ59+CJ60+CJ61+CJ62+CJ63+CJ64+CJ65+CJ66+CJ67+CJ68+CJ69+CJ70+CJ71+CJ72+CJ73</f>
        <v>196252.4</v>
      </c>
      <c r="CK116" s="27"/>
      <c r="CL116" s="27">
        <f>+CL49+CL50+CL51+CL52+CL53+CL54+CL55+CL56+CL57+CL58+CL59+CL60+CL61+CL62+CL63+CL64+CL65+CL66+CL67+CL68+CL69+CL70+CL71+CL72+CL73</f>
        <v>1547283.62</v>
      </c>
      <c r="CM116" s="27">
        <f>+CM49+CM50+CM51+CM52+CM53+CM54+CM55+CM56+CM57+CM58+CM59+CM60+CM61+CM62+CM63+CM64+CM65+CM66+CM67+CM68+CM69+CM70+CM71+CM72+CM73</f>
        <v>0</v>
      </c>
      <c r="CN116" s="27">
        <f>+CN49+CN50+CN51+CN52+CN53+CN54+CN55+CN56+CN57+CN58+CN59+CN60+CN61+CN62+CN63+CN64+CN65+CN66+CN67+CN68+CN69+CN70+CN71+CN72+CN73</f>
        <v>1547283.62</v>
      </c>
      <c r="CO116" s="27"/>
      <c r="CP116" s="27" t="e">
        <f>+CP49+CP50+CP51+CP52+CP53+CP54+CP55+CP56+CP57+CP58+#REF!+CP60+CP61+CP62+CP63+CP64+CP65+CP66+CP67+CP68+CP69+CP70+CP71+CP72+CP73</f>
        <v>#REF!</v>
      </c>
      <c r="CQ116" s="27" t="e">
        <f>+CQ49+CQ50+CQ51+CQ52+CQ53+CQ54+CQ55+CQ56+CQ57+CQ58+#REF!+CQ60+CQ61+CQ62+CQ63+CQ64+CQ65+CQ66+CQ67+CQ68+CQ69+CQ70+CQ71+CQ72+CQ73</f>
        <v>#REF!</v>
      </c>
      <c r="CR116" s="27" t="e">
        <f>+CR49+CR50+CR51+CR52+CR53+CR54+CR55+CR56+CR57+CR58+#REF!+CR60+CR61+CR62+CR63+CR64+CR65+CR66+CR67+CR68+CR69+CR70+CR71+CR72+CR73</f>
        <v>#REF!</v>
      </c>
      <c r="CS116" s="27"/>
      <c r="CT116" s="27">
        <f>+CT49+CT50+CT51+CT52+CT53+CT54+CT55+CT56+CT57+CT58+CP59+CT60+CT61+CT62+CT63+CT64+CT65+CT66+CT67+CT68+CT69+CT70+CT71+CT72+CT73</f>
        <v>452690.85</v>
      </c>
      <c r="CU116" s="27">
        <f>+CU49+CU50+CU51+CU52+CU53+CU54+CU55+CU56+CU57+CU58+CQ59+CU60+CU61+CU62+CU63+CU64+CU65+CU66+CU67+CU68+CU69+CU70+CU71+CU72+CU73</f>
        <v>0</v>
      </c>
      <c r="CV116" s="27">
        <f>+CV49+CV50+CV51+CV52+CV53+CV54+CV55+CV56+CV57+CV58+CR59+CV60+CV61+CV62+CV63+CV64+CV65+CV66+CV67+CV68+CV69+CV70+CV71+CV72+CV73</f>
        <v>452690.85</v>
      </c>
      <c r="CW116" s="27"/>
      <c r="CX116" s="27">
        <f t="shared" ref="CX116:EG116" si="49">+CX49+CX50+CX51+CX52+CX53+CX54+CX55+CX56+CX57+CX58+CX59+CX60+CX61+CX62+CX63+CX64+CX65+CX66+CX67+CX68+CX69+CX70+CX71+CX72+CX73</f>
        <v>0</v>
      </c>
      <c r="CY116" s="27">
        <f t="shared" si="49"/>
        <v>0</v>
      </c>
      <c r="CZ116" s="27">
        <f t="shared" si="49"/>
        <v>0</v>
      </c>
      <c r="DA116" s="27" t="e">
        <f t="shared" si="49"/>
        <v>#VALUE!</v>
      </c>
      <c r="DB116" s="27">
        <f t="shared" si="49"/>
        <v>0</v>
      </c>
      <c r="DC116" s="27">
        <f t="shared" si="49"/>
        <v>0</v>
      </c>
      <c r="DD116" s="27">
        <f t="shared" si="49"/>
        <v>0</v>
      </c>
      <c r="DE116" s="27">
        <f t="shared" si="49"/>
        <v>0</v>
      </c>
      <c r="DF116" s="27">
        <f t="shared" si="49"/>
        <v>0</v>
      </c>
      <c r="DG116" s="27">
        <f t="shared" si="49"/>
        <v>0</v>
      </c>
      <c r="DH116" s="27">
        <f t="shared" si="49"/>
        <v>0</v>
      </c>
      <c r="DI116" s="27">
        <f t="shared" si="49"/>
        <v>0</v>
      </c>
      <c r="DJ116" s="27">
        <f t="shared" si="49"/>
        <v>0</v>
      </c>
      <c r="DK116" s="27">
        <f t="shared" si="49"/>
        <v>0</v>
      </c>
      <c r="DL116" s="27">
        <f t="shared" si="49"/>
        <v>0</v>
      </c>
      <c r="DM116" s="27">
        <f t="shared" si="49"/>
        <v>0</v>
      </c>
      <c r="DN116" s="27">
        <f t="shared" si="49"/>
        <v>0</v>
      </c>
      <c r="DO116" s="27">
        <f t="shared" si="49"/>
        <v>0</v>
      </c>
      <c r="DP116" s="27">
        <f t="shared" si="49"/>
        <v>0</v>
      </c>
      <c r="DQ116" s="27">
        <f t="shared" si="49"/>
        <v>0</v>
      </c>
      <c r="DR116" s="27">
        <f t="shared" si="49"/>
        <v>0</v>
      </c>
      <c r="DS116" s="27">
        <f t="shared" si="49"/>
        <v>0</v>
      </c>
      <c r="DT116" s="27">
        <f t="shared" si="49"/>
        <v>0</v>
      </c>
      <c r="DU116" s="27">
        <f t="shared" si="49"/>
        <v>0</v>
      </c>
      <c r="DV116" s="27">
        <f t="shared" si="49"/>
        <v>0</v>
      </c>
      <c r="DW116" s="27">
        <f t="shared" si="49"/>
        <v>0</v>
      </c>
      <c r="DX116" s="27">
        <f t="shared" si="49"/>
        <v>0</v>
      </c>
      <c r="DY116" s="27">
        <f t="shared" si="49"/>
        <v>0</v>
      </c>
      <c r="DZ116" s="27">
        <f t="shared" si="49"/>
        <v>0</v>
      </c>
      <c r="EA116" s="27">
        <f t="shared" si="49"/>
        <v>0</v>
      </c>
      <c r="EB116" s="27">
        <f t="shared" si="49"/>
        <v>0</v>
      </c>
      <c r="EC116" s="27">
        <f t="shared" si="49"/>
        <v>0</v>
      </c>
      <c r="ED116" s="27">
        <f t="shared" si="49"/>
        <v>0</v>
      </c>
      <c r="EE116" s="27">
        <f t="shared" si="49"/>
        <v>0</v>
      </c>
      <c r="EF116" s="27">
        <f t="shared" si="49"/>
        <v>0</v>
      </c>
      <c r="EG116" s="27">
        <f t="shared" si="49"/>
        <v>0</v>
      </c>
      <c r="EH116" s="27" t="e">
        <f t="shared" si="47"/>
        <v>#REF!</v>
      </c>
      <c r="EI116" s="27" t="e">
        <f t="shared" si="47"/>
        <v>#REF!</v>
      </c>
      <c r="EJ116" s="27" t="e">
        <f t="shared" si="47"/>
        <v>#REF!</v>
      </c>
      <c r="EK116" s="27" t="e">
        <f>EH116+AC116-EI116</f>
        <v>#REF!</v>
      </c>
      <c r="EL116" s="27" t="e">
        <f>AC116-EI116</f>
        <v>#REF!</v>
      </c>
      <c r="EM116" s="27" t="e">
        <f>Z116-EH116</f>
        <v>#REF!</v>
      </c>
      <c r="EN116" s="27" t="e">
        <f>EH116-EJ116</f>
        <v>#REF!</v>
      </c>
      <c r="EO116" s="27" t="e">
        <f>+AA116+EM116</f>
        <v>#REF!</v>
      </c>
      <c r="EP116" s="29"/>
      <c r="EQ116" s="29"/>
      <c r="ER116" s="29"/>
      <c r="ES116" s="29"/>
      <c r="ET116" s="29"/>
      <c r="EU116" s="29"/>
      <c r="EV116" s="29"/>
      <c r="EW116" s="29"/>
      <c r="EX116" s="29"/>
      <c r="EY116" s="29"/>
      <c r="EZ116" s="29"/>
      <c r="FA116" s="283"/>
      <c r="FB116" s="285">
        <f>FA116-EZ116</f>
        <v>0</v>
      </c>
      <c r="FC116" s="30" t="e">
        <f t="shared" si="41"/>
        <v>#REF!</v>
      </c>
      <c r="FD116" s="284"/>
      <c r="FE116" s="283"/>
      <c r="FF116" s="29"/>
      <c r="FG116" s="29"/>
      <c r="FH116" s="283"/>
      <c r="FI116" s="29"/>
      <c r="FJ116" s="29"/>
    </row>
    <row r="117" spans="1:166" ht="47.25" hidden="1" customHeight="1">
      <c r="G117" s="279"/>
      <c r="H117" s="280" t="e">
        <f>H11+H83+#REF!+#REF!+#REF!+#REF!+#REF!+#REF!+#REF!+#REF!+#REF!+#REF!+#REF!+#REF!+#REF!+#REF!+#REF!+#REF!+#REF!+#REF!+#REF!+#REF!+#REF!+#REF!+#REF!+#REF!+#REF!+#REF!+#REF!+#REF!+#REF!+#REF!+#REF!+#REF!+#REF!+#REF!</f>
        <v>#REF!</v>
      </c>
      <c r="I117" s="280" t="e">
        <f>I11+I83+#REF!+#REF!+#REF!+#REF!+#REF!+#REF!+#REF!+#REF!+#REF!+#REF!+#REF!+#REF!+#REF!+#REF!+#REF!+#REF!+#REF!+#REF!+#REF!+#REF!+#REF!+#REF!+#REF!+#REF!+#REF!+#REF!+#REF!+#REF!+#REF!+#REF!+#REF!+#REF!+#REF!+#REF!</f>
        <v>#REF!</v>
      </c>
      <c r="J117" s="29"/>
      <c r="K117" s="29"/>
      <c r="L117" s="29"/>
      <c r="M117" s="29"/>
      <c r="N117" s="29"/>
      <c r="O117" s="29"/>
      <c r="P117" s="28" t="s">
        <v>807</v>
      </c>
      <c r="Q117" s="29"/>
      <c r="R117" s="29"/>
      <c r="S117" s="29"/>
      <c r="T117" s="29"/>
      <c r="U117" s="29"/>
      <c r="V117" s="29"/>
      <c r="W117" s="28"/>
      <c r="X117" s="27" t="e">
        <f>X11+X83+#REF!+#REF!+#REF!+#REF!+#REF!+#REF!+#REF!+#REF!+#REF!+#REF!+#REF!+#REF!+#REF!+#REF!+#REF!+#REF!+#REF!+#REF!+#REF!+#REF!+#REF!+#REF!+#REF!+#REF!+#REF!+#REF!+#REF!+#REF!+#REF!+#REF!+#REF!+#REF!+#REF!+#REF!</f>
        <v>#REF!</v>
      </c>
      <c r="Y117" s="27" t="e">
        <f>Y11+Y83+#REF!+#REF!+#REF!+#REF!+#REF!+#REF!+#REF!+#REF!+#REF!+#REF!+#REF!+#REF!+#REF!+#REF!+#REF!+#REF!+#REF!+#REF!+#REF!+#REF!+#REF!+#REF!+#REF!+#REF!+#REF!+#REF!+#REF!+#REF!+#REF!+#REF!+#REF!+#REF!+#REF!+#REF!</f>
        <v>#REF!</v>
      </c>
      <c r="Z117" s="27">
        <f>+Z83+Z84+Z85+Z86+Z87+Z88+Z89+Z90+Z91+Z92+Z93+Z94+Z95+Z96+Z97+Z98+Z99+Z100+Z101</f>
        <v>179960480.74999994</v>
      </c>
      <c r="AA117" s="27">
        <f t="shared" ref="AA117:AF117" si="50">+AA83+AA84+AA85+AA86+AA87+AA88+AA89+AA90+AA91+AA92+AA93+AA94+AA95+AA96+AA97+AA98+AA99+AA100+AA101</f>
        <v>0</v>
      </c>
      <c r="AB117" s="27">
        <f t="shared" si="50"/>
        <v>53988144.245999992</v>
      </c>
      <c r="AC117" s="27">
        <f t="shared" si="50"/>
        <v>53988144.25</v>
      </c>
      <c r="AD117" s="27">
        <f t="shared" si="50"/>
        <v>51716555.730000004</v>
      </c>
      <c r="AE117" s="27">
        <f>+AE83+AE84+AE85+AE86+AE87+AE88+AE89+AE90+AE91+AE92+AE93+AE94+AE95+AE96+AE97+AE98+AE99+AE100+AE101</f>
        <v>17302989.870000001</v>
      </c>
      <c r="AF117" s="27">
        <f t="shared" si="50"/>
        <v>34413565.859999999</v>
      </c>
      <c r="AG117" s="27"/>
      <c r="AH117" s="27">
        <f>+AH83+AH84+AH85+AH86+AH87+AH88+AH89+AH90+AH91+AH92+AH93+AH94+AH95+AH96+AH97+AH98+AH99+AH100+AH101</f>
        <v>43835073.759999998</v>
      </c>
      <c r="AI117" s="27">
        <f>+AI83+AI84+AI85+AI86+AI87+AI88+AI89+AI90+AI91+AI92+AI93+AI94+AI95+AI96+AI97+AI98+AI99+AI100+AI101</f>
        <v>13971924.790000003</v>
      </c>
      <c r="AJ117" s="27">
        <f>+AJ83+AJ84+AJ85+AJ86+AJ87+AJ88+AJ89+AJ90+AJ91+AJ92+AJ93+AJ94+AJ95+AJ96+AJ97+AJ98+AJ99+AJ100+AJ101</f>
        <v>29863148.969999999</v>
      </c>
      <c r="AK117" s="27"/>
      <c r="AL117" s="27">
        <f>+AL83+AL84+AL85+AL86+AL87+AL88+AL89+AL90+AL91+AL92+AL93+AL94+AL95+AL96+AL97+AL98+AL99+AL100+AL101</f>
        <v>31529296.349999998</v>
      </c>
      <c r="AM117" s="27">
        <f>+AM83+AM84+AM85+AM86+AM87+AM88+AM89+AM90+AM91+AM92+AM93+AM94+AM95+AM96+AM97+AM98+AM99+AM100+AM101</f>
        <v>12624604.129999999</v>
      </c>
      <c r="AN117" s="27">
        <f>+AN83+AN84+AN85+AN86+AN87+AN88+AN89+AN90+AN91+AN92+AN93+AN94+AN95+AN96+AN97+AN98+AN99+AN100+AN101</f>
        <v>18904692.219999999</v>
      </c>
      <c r="AO117" s="27"/>
      <c r="AP117" s="27">
        <f>+AP83+AP84+AP85+AP86+AP87+AP88+AP89+AP90+AP91+AP92+AP93+AP94+AP95+AP96+AP97+AP98+AP99+AP100+AP101</f>
        <v>27777650.009999994</v>
      </c>
      <c r="AQ117" s="27">
        <f>+AQ83+AQ84+AQ85+AQ86+AQ87+AQ88+AQ89+AQ90+AQ91+AQ92+AQ93+AQ94+AQ95+AQ96+AQ97+AQ98+AQ99+AQ100+AQ101</f>
        <v>10131466.4</v>
      </c>
      <c r="AR117" s="27">
        <f>+AR83+AR84+AR85+AR86+AR87+AR88+AR89+AR90+AR91+AR92+AR93+AR94+AR95+AR96+AR97+AR98+AR99+AR100+AR101</f>
        <v>17646183.609999999</v>
      </c>
      <c r="AS117" s="27"/>
      <c r="AT117" s="27">
        <f>+AT83+AT84+AT85+AT86+AT87+AT88+AT89+AT90+AT91+AT92+AT93+AT94+AT95+AT96+AT97+AT98+AT99+AT100+AT101</f>
        <v>2411605.2199999997</v>
      </c>
      <c r="AU117" s="27">
        <f>+AU83+AU84+AU85+AU86+AU87+AU88+AU89+AU90+AU91+AU92+AU93+AU94+AU95+AU96+AU97+AU98+AU99+AU100+AU101</f>
        <v>0</v>
      </c>
      <c r="AV117" s="27">
        <f>+AV83+AV84+AV85+AV86+AV87+AV88+AV89+AV90+AV91+AV92+AV93+AV94+AV95+AV96+AV97+AV98+AV99+AV100+AV101</f>
        <v>2411605.2199999997</v>
      </c>
      <c r="AW117" s="27"/>
      <c r="AX117" s="27">
        <f>+AX83+AX84+AX85+AX86+AX87+AX88+AX89+AX90+AX91+AX92+AX93+AX94+AX95+AX96+AX97+AX98+AX99+AX100+AX101</f>
        <v>836057.66</v>
      </c>
      <c r="AY117" s="27">
        <f>+AY83+AY84+AY85+AY86+AY87+AY88+AY89+AY90+AY91+AY92+AY93+AY94+AY95+AY96+AY97+AY98+AY99+AY100+AY101</f>
        <v>0</v>
      </c>
      <c r="AZ117" s="27">
        <f>+AZ83+AZ84+AZ85+AZ86+AZ87+AZ88+AZ89+AZ90+AZ91+AZ92+AZ93+AZ94+AZ95+AZ96+AZ97+AZ98+AZ99+AZ100+AZ101</f>
        <v>836057.66</v>
      </c>
      <c r="BA117" s="27"/>
      <c r="BB117" s="27">
        <f>+BB83+BB84+BB85+BB86+BB87+BB88+BB89+BB90+BB91+BB92+BB93+BB94+BB95+BB96+BB97+BB98+BB99+BB100+BB101</f>
        <v>283890.71999999997</v>
      </c>
      <c r="BC117" s="27">
        <f>+BC83+BC84+BC85+BC86+BC87+BC88+BC89+BC90+BC91+BC92+BC93+BC94+BC95+BC96+BC97+BC98+BC99+BC100+BC101</f>
        <v>0</v>
      </c>
      <c r="BD117" s="27">
        <f>+BD83+BD84+BD85+BD86+BD87+BD88+BD89+BD90+BD91+BD92+BD93+BD94+BD95+BD96+BD97+BD98+BD99+BD100+BD101</f>
        <v>283890.71999999997</v>
      </c>
      <c r="BE117" s="27"/>
      <c r="BF117" s="27">
        <f>+BF83+BF84+BF85+BF86+BF87+BF88+BF89+BF90+BF91+BF92+BF93+BF94+BF95+BF96+BF97+BF98+BF99+BF100+BF101</f>
        <v>0</v>
      </c>
      <c r="BG117" s="27">
        <f>+BG83+BG84+BG85+BG86+BG87+BG88+BG89+BG90+BG91+BG92+BG93+BG94+BG95+BG96+BG97+BG98+BG99+BG100+BG101</f>
        <v>0</v>
      </c>
      <c r="BH117" s="27">
        <f>+BH83+BH84+BH85+BH86+BH87+BH88+BH89+BH90+BH91+BH92+BH93+BH94+BH95+BH96+BH97+BH98+BH99+BH100+BH101</f>
        <v>0</v>
      </c>
      <c r="BI117" s="27"/>
      <c r="BJ117" s="27">
        <f>+BJ83+BJ84+BJ85+BJ86+BJ87+BJ88+BJ89+BJ90+BJ91+BJ92+BJ93+BJ94+BJ95+BJ96+BJ97+BJ98+BJ99+BJ100+BJ101</f>
        <v>0</v>
      </c>
      <c r="BK117" s="27">
        <f>+BK83+BK84+BK85+BK86+BK87+BK88+BK89+BK90+BK91+BK92+BK93+BK94+BK95+BK96+BK97+BK98+BK99+BK100+BK101</f>
        <v>0</v>
      </c>
      <c r="BL117" s="27">
        <f>+BL83+BL84+BL85+BL86+BL87+BL88+BL89+BL90+BL91+BL92+BL93+BL94+BL95+BL96+BL97+BL98+BL99+BL100+BL101</f>
        <v>0</v>
      </c>
      <c r="BM117" s="27"/>
      <c r="BN117" s="27">
        <f>+BN83+BN84+BN85+BN86+BN87+BN88+BN89+BN90+BN91+BN92+BN93+BN94+BN95+BN96+BN97+BN98+BN99+BN100+BN101</f>
        <v>0</v>
      </c>
      <c r="BO117" s="27">
        <f>+BO83+BO84+BO85+BO86+BO87+BO88+BO89+BO90+BO91+BO92+BO93+BO94+BO95+BO96+BO97+BO98+BO99+BO100+BO101</f>
        <v>0</v>
      </c>
      <c r="BP117" s="27">
        <f>+BP83+BP84+BP85+BP86+BP87+BP88+BP89+BP90+BP91+BP92+BP93+BP94+BP95+BP96+BP97+BP98+BP99+BP100+BP101</f>
        <v>0</v>
      </c>
      <c r="BQ117" s="27"/>
      <c r="BR117" s="27">
        <f>+BR83+BR84+BR85+BR86+BR87+BR88+BR89+BR90+BR91+BR92+BR93+BR94+BR95+BR96+BR97+BR98+BR99+BR100+BR101</f>
        <v>0</v>
      </c>
      <c r="BS117" s="27">
        <f>+BS83+BS84+BS85+BS86+BS87+BS88+BS89+BS90+BS91+BS92+BS93+BS94+BS95+BS96+BS97+BS98+BS99+BS100+BS101</f>
        <v>0</v>
      </c>
      <c r="BT117" s="27">
        <f>+BT83+BT84+BT85+BT86+BT87+BT88+BT89+BT90+BT91+BT92+BT93+BT94+BT95+BT96+BT97+BT98+BT99+BT100+BT101</f>
        <v>0</v>
      </c>
      <c r="BU117" s="27"/>
      <c r="BV117" s="27">
        <f>+BV83+BV84+BV85+BV86+BV87+BV88+BV89+BV90+BV91+BV92+BV93+BV94+BV95+BV96+BV97+BV98+BV99+BV100+BV101</f>
        <v>0</v>
      </c>
      <c r="BW117" s="27">
        <f>+BW83+BW84+BW85+BW86+BW87+BW88+BW89+BW90+BW91+BW92+BW93+BW94+BW95+BW96+BW97+BW98+BW99+BW100+BW101</f>
        <v>0</v>
      </c>
      <c r="BX117" s="27">
        <f>+BX83+BX84+BX85+BX86+BX87+BX88+BX89+BX90+BX91+BX92+BX93+BX94+BX95+BX96+BX97+BX98+BX99+BX100+BX101</f>
        <v>0</v>
      </c>
      <c r="BY117" s="27"/>
      <c r="BZ117" s="27">
        <f>+BZ83+BZ84+BZ85+BZ86+BZ87+BZ88+BZ89+BZ90+BZ91+BZ92+BZ93+BZ94+BZ95+BZ96+BZ97+BZ98+BZ99+BZ100+BZ101</f>
        <v>0</v>
      </c>
      <c r="CA117" s="27">
        <f>+CA83+CA84+CA85+CA86+CA87+CA88+CA89+CA90+CA91+CA92+CA93+CA94+CA95+CA96+CA97+CA98+CA99+CA100+CA101</f>
        <v>0</v>
      </c>
      <c r="CB117" s="27">
        <f>+CB83+CB84+CB85+CB86+CB87+CB88+CB89+CB90+CB91+CB92+CB93+CB94+CB95+CB96+CB97+CB98+CB99+CB100+CB101</f>
        <v>0</v>
      </c>
      <c r="CC117" s="27"/>
      <c r="CD117" s="27">
        <f>+CD83+CD84+CD85+CD86+CD87+CD88+CD89+CD90+CD91+CD92+CD93+CD94+CD95+CD96+CD97+CD98+CD99+CD100+CD101</f>
        <v>0</v>
      </c>
      <c r="CE117" s="27">
        <f>+CE83+CE84+CE85+CE86+CE87+CE88+CE89+CE90+CE91+CE92+CE93+CE94+CE95+CE96+CE97+CE98+CE99+CE100+CE101</f>
        <v>0</v>
      </c>
      <c r="CF117" s="27">
        <f>+CF83+CF84+CF85+CF86+CF87+CF88+CF89+CF90+CF91+CF92+CF93+CF94+CF95+CF96+CF97+CF98+CF99+CF100+CF101</f>
        <v>0</v>
      </c>
      <c r="CG117" s="27"/>
      <c r="CH117" s="27">
        <f>+CH83+CH84+CH85+CH86+CH87+CH88+CH89+CH90+CH91+CH92+CH93+CH94+CH95+CH96+CH97+CH98+CH99+CH100+CH101</f>
        <v>0</v>
      </c>
      <c r="CI117" s="27">
        <f>+CI83+CI84+CI85+CI86+CI87+CI88+CI89+CI90+CI91+CI92+CI93+CI94+CI95+CI96+CI97+CI98+CI99+CI100+CI101</f>
        <v>0</v>
      </c>
      <c r="CJ117" s="27">
        <f>+CJ83+CJ84+CJ85+CJ86+CJ87+CJ88+CJ89+CJ90+CJ91+CJ92+CJ93+CJ94+CJ95+CJ96+CJ97+CJ98+CJ99+CJ100+CJ101</f>
        <v>0</v>
      </c>
      <c r="CK117" s="27"/>
      <c r="CL117" s="27">
        <f>+CL83+CL84+CL85+CL86+CL87+CL88+CL89+CL90+CL91+CL92+CL93+CL94+CL95+CL96+CL97+CL98+CL99+CL100+CL101</f>
        <v>0</v>
      </c>
      <c r="CM117" s="27">
        <f>+CM83+CM84+CM85+CM86+CM87+CM88+CM89+CM90+CM91+CM92+CM93+CM94+CM95+CM96+CM97+CM98+CM99+CM100+CM101</f>
        <v>0</v>
      </c>
      <c r="CN117" s="27">
        <f>+CN83+CN84+CN85+CN86+CN87+CN88+CN89+CN90+CN91+CN92+CN93+CN94+CN95+CN96+CN97+CN98+CN99+CN100+CN101</f>
        <v>0</v>
      </c>
      <c r="CO117" s="27"/>
      <c r="CP117" s="27">
        <f t="shared" ref="CP117:CV117" si="51">+CP83+CP84+CP85+CP86+CP87+CP88+CP89+CP90+CP91+CP92+CP93+CP94+CP95+CP96+CP97+CP98+CP99+CP100+CP101</f>
        <v>0</v>
      </c>
      <c r="CQ117" s="27">
        <f t="shared" si="51"/>
        <v>0</v>
      </c>
      <c r="CR117" s="27">
        <f t="shared" si="51"/>
        <v>0</v>
      </c>
      <c r="CS117" s="27"/>
      <c r="CT117" s="27">
        <f t="shared" si="51"/>
        <v>0</v>
      </c>
      <c r="CU117" s="27">
        <f t="shared" si="51"/>
        <v>0</v>
      </c>
      <c r="CV117" s="27">
        <f t="shared" si="51"/>
        <v>0</v>
      </c>
      <c r="CW117" s="27"/>
      <c r="CX117" s="27">
        <f t="shared" ref="CX117:EG117" si="52">+CX83+CX84+CX85+CX86+CX87+CX88+CX89+CX90+CX91+CX92+CX93+CX94+CX95+CX96+CX97+CX98+CX99+CX100+CX101</f>
        <v>0</v>
      </c>
      <c r="CY117" s="27">
        <f t="shared" si="52"/>
        <v>0</v>
      </c>
      <c r="CZ117" s="27">
        <f t="shared" si="52"/>
        <v>0</v>
      </c>
      <c r="DA117" s="27">
        <f t="shared" si="52"/>
        <v>0</v>
      </c>
      <c r="DB117" s="27">
        <f t="shared" si="52"/>
        <v>0</v>
      </c>
      <c r="DC117" s="27">
        <f t="shared" si="52"/>
        <v>0</v>
      </c>
      <c r="DD117" s="27">
        <f t="shared" si="52"/>
        <v>0</v>
      </c>
      <c r="DE117" s="27">
        <f t="shared" si="52"/>
        <v>0</v>
      </c>
      <c r="DF117" s="27">
        <f t="shared" si="52"/>
        <v>0</v>
      </c>
      <c r="DG117" s="27">
        <f t="shared" si="52"/>
        <v>0</v>
      </c>
      <c r="DH117" s="27">
        <f t="shared" si="52"/>
        <v>0</v>
      </c>
      <c r="DI117" s="27">
        <f t="shared" si="52"/>
        <v>0</v>
      </c>
      <c r="DJ117" s="27">
        <f t="shared" si="52"/>
        <v>0</v>
      </c>
      <c r="DK117" s="27">
        <f t="shared" si="52"/>
        <v>0</v>
      </c>
      <c r="DL117" s="27">
        <f t="shared" si="52"/>
        <v>0</v>
      </c>
      <c r="DM117" s="27">
        <f t="shared" si="52"/>
        <v>0</v>
      </c>
      <c r="DN117" s="27">
        <f t="shared" si="52"/>
        <v>0</v>
      </c>
      <c r="DO117" s="27">
        <f t="shared" si="52"/>
        <v>0</v>
      </c>
      <c r="DP117" s="27">
        <f t="shared" si="52"/>
        <v>0</v>
      </c>
      <c r="DQ117" s="27">
        <f t="shared" si="52"/>
        <v>0</v>
      </c>
      <c r="DR117" s="27">
        <f t="shared" si="52"/>
        <v>0</v>
      </c>
      <c r="DS117" s="27">
        <f t="shared" si="52"/>
        <v>0</v>
      </c>
      <c r="DT117" s="27">
        <f t="shared" si="52"/>
        <v>0</v>
      </c>
      <c r="DU117" s="27">
        <f t="shared" si="52"/>
        <v>0</v>
      </c>
      <c r="DV117" s="27">
        <f t="shared" si="52"/>
        <v>0</v>
      </c>
      <c r="DW117" s="27">
        <f t="shared" si="52"/>
        <v>0</v>
      </c>
      <c r="DX117" s="27">
        <f t="shared" si="52"/>
        <v>0</v>
      </c>
      <c r="DY117" s="27">
        <f t="shared" si="52"/>
        <v>0</v>
      </c>
      <c r="DZ117" s="27">
        <f t="shared" si="52"/>
        <v>0</v>
      </c>
      <c r="EA117" s="27">
        <f t="shared" si="52"/>
        <v>0</v>
      </c>
      <c r="EB117" s="27">
        <f t="shared" si="52"/>
        <v>0</v>
      </c>
      <c r="EC117" s="27">
        <f t="shared" si="52"/>
        <v>0</v>
      </c>
      <c r="ED117" s="27">
        <f t="shared" si="52"/>
        <v>0</v>
      </c>
      <c r="EE117" s="27">
        <f t="shared" si="52"/>
        <v>0</v>
      </c>
      <c r="EF117" s="27">
        <f t="shared" si="52"/>
        <v>0</v>
      </c>
      <c r="EG117" s="27">
        <f t="shared" si="52"/>
        <v>0</v>
      </c>
      <c r="EH117" s="27">
        <f t="shared" si="47"/>
        <v>158390129.44999999</v>
      </c>
      <c r="EI117" s="27">
        <f t="shared" si="47"/>
        <v>54030985.190000005</v>
      </c>
      <c r="EJ117" s="27">
        <f t="shared" si="47"/>
        <v>104359144.25999999</v>
      </c>
      <c r="EK117" s="27">
        <f>EH117+AC117-EI117</f>
        <v>158347288.50999999</v>
      </c>
      <c r="EL117" s="27">
        <f>AC117-EI117</f>
        <v>-42840.940000005066</v>
      </c>
      <c r="EM117" s="27">
        <f>Z117-EH117</f>
        <v>21570351.299999952</v>
      </c>
      <c r="EN117" s="27">
        <f>EH117-EJ117</f>
        <v>54030985.189999998</v>
      </c>
      <c r="EO117" s="27">
        <f>+AA117+EM117</f>
        <v>21570351.299999952</v>
      </c>
      <c r="EP117" s="29"/>
      <c r="EQ117" s="29"/>
      <c r="ER117" s="29"/>
      <c r="ES117" s="29"/>
      <c r="ET117" s="29"/>
      <c r="EU117" s="29"/>
      <c r="EV117" s="29"/>
      <c r="EW117" s="29"/>
      <c r="EX117" s="29"/>
      <c r="EY117" s="29"/>
      <c r="EZ117" s="29"/>
      <c r="FA117" s="283"/>
      <c r="FB117" s="285">
        <f>FA117-EZ117</f>
        <v>0</v>
      </c>
      <c r="FC117" s="30">
        <f t="shared" si="41"/>
        <v>0.87990034173099996</v>
      </c>
      <c r="FD117" s="284"/>
      <c r="FE117" s="283"/>
      <c r="FF117" s="29"/>
      <c r="FG117" s="29"/>
      <c r="FH117" s="283"/>
      <c r="FI117" s="29"/>
      <c r="FJ117" s="29"/>
    </row>
    <row r="118" spans="1:166" ht="47.25" hidden="1" customHeight="1">
      <c r="G118" s="279"/>
      <c r="H118" s="280" t="e">
        <f>H12+H84+H116+#REF!+#REF!+#REF!+#REF!+#REF!+#REF!+#REF!+#REF!+#REF!+#REF!+#REF!+#REF!+#REF!+#REF!+#REF!+#REF!+#REF!+#REF!+#REF!+#REF!+#REF!+#REF!+#REF!+#REF!+#REF!+#REF!+#REF!+#REF!+#REF!+#REF!+#REF!+#REF!+#REF!</f>
        <v>#REF!</v>
      </c>
      <c r="I118" s="280" t="e">
        <f>I12+I84+I116+#REF!+#REF!+#REF!+#REF!+#REF!+#REF!+#REF!+#REF!+#REF!+#REF!+#REF!+#REF!+#REF!+#REF!+#REF!+#REF!+#REF!+#REF!+#REF!+#REF!+#REF!+#REF!+#REF!+#REF!+#REF!+#REF!+#REF!+#REF!+#REF!+#REF!+#REF!+#REF!+#REF!</f>
        <v>#REF!</v>
      </c>
      <c r="J118" s="29"/>
      <c r="K118" s="29"/>
      <c r="L118" s="29"/>
      <c r="M118" s="29"/>
      <c r="N118" s="29"/>
      <c r="O118" s="29"/>
      <c r="P118" s="28" t="s">
        <v>885</v>
      </c>
      <c r="Q118" s="29"/>
      <c r="R118" s="29"/>
      <c r="S118" s="29"/>
      <c r="T118" s="29"/>
      <c r="U118" s="29"/>
      <c r="V118" s="29"/>
      <c r="W118" s="28"/>
      <c r="X118" s="27" t="e">
        <f>X12+X84+X116+#REF!+#REF!+#REF!+#REF!+#REF!+#REF!+#REF!+#REF!+#REF!+#REF!+#REF!+#REF!+#REF!+#REF!+#REF!+#REF!+#REF!+#REF!+#REF!+#REF!+#REF!+#REF!+#REF!+#REF!+#REF!+#REF!+#REF!+#REF!+#REF!+#REF!+#REF!+#REF!+#REF!</f>
        <v>#REF!</v>
      </c>
      <c r="Y118" s="27" t="e">
        <f>Y12+Y84+Y116+#REF!+#REF!+#REF!+#REF!+#REF!+#REF!+#REF!+#REF!+#REF!+#REF!+#REF!+#REF!+#REF!+#REF!+#REF!+#REF!+#REF!+#REF!+#REF!+#REF!+#REF!+#REF!+#REF!+#REF!+#REF!+#REF!+#REF!+#REF!+#REF!+#REF!+#REF!+#REF!+#REF!</f>
        <v>#REF!</v>
      </c>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27"/>
      <c r="DB118" s="27"/>
      <c r="DC118" s="27"/>
      <c r="DD118" s="27"/>
      <c r="DE118" s="27"/>
      <c r="DF118" s="27"/>
      <c r="DG118" s="27"/>
      <c r="DH118" s="27"/>
      <c r="DI118" s="27"/>
      <c r="DJ118" s="27"/>
      <c r="DK118" s="27"/>
      <c r="DL118" s="27"/>
      <c r="DM118" s="27"/>
      <c r="DN118" s="27"/>
      <c r="DO118" s="27"/>
      <c r="DP118" s="27"/>
      <c r="DQ118" s="27"/>
      <c r="DR118" s="27"/>
      <c r="DS118" s="27"/>
      <c r="DT118" s="27"/>
      <c r="DU118" s="27"/>
      <c r="DV118" s="27"/>
      <c r="DW118" s="27"/>
      <c r="DX118" s="27"/>
      <c r="DY118" s="27"/>
      <c r="DZ118" s="27"/>
      <c r="EA118" s="27"/>
      <c r="EB118" s="27"/>
      <c r="EC118" s="27"/>
      <c r="ED118" s="27"/>
      <c r="EE118" s="27"/>
      <c r="EF118" s="27"/>
      <c r="EG118" s="27"/>
      <c r="EH118" s="27">
        <f t="shared" si="47"/>
        <v>0</v>
      </c>
      <c r="EI118" s="27">
        <f t="shared" si="47"/>
        <v>0</v>
      </c>
      <c r="EJ118" s="27">
        <f t="shared" si="47"/>
        <v>0</v>
      </c>
      <c r="EK118" s="27">
        <f>EH118+AC118-EI118</f>
        <v>0</v>
      </c>
      <c r="EL118" s="27">
        <f>AC118-EI118</f>
        <v>0</v>
      </c>
      <c r="EM118" s="27">
        <f>Z118-EH118</f>
        <v>0</v>
      </c>
      <c r="EN118" s="27">
        <f>EH118-EJ118</f>
        <v>0</v>
      </c>
      <c r="EO118" s="27">
        <f>+AA118+EM118</f>
        <v>0</v>
      </c>
      <c r="EP118" s="29"/>
      <c r="EQ118" s="29"/>
      <c r="ER118" s="29"/>
      <c r="ES118" s="29"/>
      <c r="ET118" s="29"/>
      <c r="EU118" s="29"/>
      <c r="EV118" s="29"/>
      <c r="EW118" s="29"/>
      <c r="EX118" s="29"/>
      <c r="EY118" s="29"/>
      <c r="EZ118" s="29"/>
      <c r="FA118" s="283"/>
      <c r="FB118" s="285">
        <f>FA118-EZ118</f>
        <v>0</v>
      </c>
      <c r="FC118" s="30" t="e">
        <f t="shared" si="41"/>
        <v>#DIV/0!</v>
      </c>
      <c r="FD118" s="284"/>
      <c r="FE118" s="283"/>
      <c r="FF118" s="29"/>
      <c r="FG118" s="29"/>
      <c r="FH118" s="283"/>
      <c r="FI118" s="29"/>
      <c r="FJ118" s="29"/>
    </row>
    <row r="119" spans="1:166" ht="35.25" hidden="1" customHeight="1">
      <c r="H119" s="31"/>
      <c r="P119" s="287" t="s">
        <v>1013</v>
      </c>
      <c r="Z119" s="288">
        <f>SUM(Z114:Z118)</f>
        <v>1150586098.1999998</v>
      </c>
      <c r="AA119" s="288">
        <f t="shared" ref="AA119:CL119" si="53">SUM(AA114:AA118)</f>
        <v>-329373237.38999999</v>
      </c>
      <c r="AB119" s="288">
        <f t="shared" si="53"/>
        <v>157651369.75599998</v>
      </c>
      <c r="AC119" s="288">
        <f t="shared" si="53"/>
        <v>157651369.75999999</v>
      </c>
      <c r="AD119" s="288">
        <f t="shared" si="53"/>
        <v>196797130.52999997</v>
      </c>
      <c r="AE119" s="288">
        <f t="shared" si="53"/>
        <v>33414996.280000001</v>
      </c>
      <c r="AF119" s="288">
        <f t="shared" si="53"/>
        <v>163382134.25</v>
      </c>
      <c r="AG119" s="288"/>
      <c r="AH119" s="288">
        <f t="shared" si="53"/>
        <v>131899904.06999999</v>
      </c>
      <c r="AI119" s="288">
        <f t="shared" si="53"/>
        <v>28219945.530000001</v>
      </c>
      <c r="AJ119" s="288">
        <f t="shared" si="53"/>
        <v>103679958.53999999</v>
      </c>
      <c r="AK119" s="288"/>
      <c r="AL119" s="288">
        <f t="shared" si="53"/>
        <v>130542182.85999998</v>
      </c>
      <c r="AM119" s="288">
        <f t="shared" si="53"/>
        <v>27207137.09</v>
      </c>
      <c r="AN119" s="288">
        <f t="shared" si="53"/>
        <v>103335045.76999998</v>
      </c>
      <c r="AO119" s="288"/>
      <c r="AP119" s="288">
        <f t="shared" si="53"/>
        <v>88737152.280000001</v>
      </c>
      <c r="AQ119" s="288">
        <f t="shared" si="53"/>
        <v>20160771.09</v>
      </c>
      <c r="AR119" s="288">
        <f t="shared" si="53"/>
        <v>68289203.719999999</v>
      </c>
      <c r="AS119" s="288"/>
      <c r="AT119" s="288">
        <f t="shared" si="53"/>
        <v>46762962.789999999</v>
      </c>
      <c r="AU119" s="288">
        <f t="shared" si="53"/>
        <v>6626365.4199999999</v>
      </c>
      <c r="AV119" s="288">
        <f t="shared" si="53"/>
        <v>40136597.369999997</v>
      </c>
      <c r="AW119" s="288"/>
      <c r="AX119" s="288">
        <f t="shared" si="53"/>
        <v>30311383.849999998</v>
      </c>
      <c r="AY119" s="288">
        <f t="shared" si="53"/>
        <v>4614527.46</v>
      </c>
      <c r="AZ119" s="288">
        <f t="shared" si="53"/>
        <v>25696856.390000001</v>
      </c>
      <c r="BA119" s="288"/>
      <c r="BB119" s="288">
        <f t="shared" si="53"/>
        <v>21620732.869999997</v>
      </c>
      <c r="BC119" s="288">
        <f t="shared" si="53"/>
        <v>4006185.71</v>
      </c>
      <c r="BD119" s="288">
        <f t="shared" si="53"/>
        <v>17614547.16</v>
      </c>
      <c r="BE119" s="288"/>
      <c r="BF119" s="288">
        <f t="shared" si="53"/>
        <v>20411262.710000001</v>
      </c>
      <c r="BG119" s="288">
        <f t="shared" si="53"/>
        <v>553128.17000000004</v>
      </c>
      <c r="BH119" s="288">
        <f t="shared" si="53"/>
        <v>19858134.539999999</v>
      </c>
      <c r="BI119" s="288"/>
      <c r="BJ119" s="288">
        <f t="shared" si="53"/>
        <v>7748230.3100000005</v>
      </c>
      <c r="BK119" s="288">
        <f t="shared" si="53"/>
        <v>103045</v>
      </c>
      <c r="BL119" s="288">
        <f t="shared" si="53"/>
        <v>7645185.3100000005</v>
      </c>
      <c r="BM119" s="288"/>
      <c r="BN119" s="288">
        <f t="shared" si="53"/>
        <v>1132330.4000000001</v>
      </c>
      <c r="BO119" s="288">
        <f t="shared" si="53"/>
        <v>61092.49</v>
      </c>
      <c r="BP119" s="288">
        <f t="shared" si="53"/>
        <v>1071237.9100000001</v>
      </c>
      <c r="BQ119" s="288"/>
      <c r="BR119" s="288">
        <f t="shared" si="53"/>
        <v>1217645.8900000001</v>
      </c>
      <c r="BS119" s="288">
        <f t="shared" si="53"/>
        <v>90246.99</v>
      </c>
      <c r="BT119" s="288">
        <f t="shared" si="53"/>
        <v>1127398.9000000001</v>
      </c>
      <c r="BU119" s="288"/>
      <c r="BV119" s="288">
        <f t="shared" si="53"/>
        <v>1806534.1800000002</v>
      </c>
      <c r="BW119" s="288">
        <f t="shared" si="53"/>
        <v>173290.67</v>
      </c>
      <c r="BX119" s="288">
        <f t="shared" si="53"/>
        <v>1633243.51</v>
      </c>
      <c r="BY119" s="288"/>
      <c r="BZ119" s="288">
        <f t="shared" si="53"/>
        <v>681077.38</v>
      </c>
      <c r="CA119" s="288">
        <f t="shared" si="53"/>
        <v>204323.21</v>
      </c>
      <c r="CB119" s="288">
        <f t="shared" si="53"/>
        <v>476754.17000000004</v>
      </c>
      <c r="CC119" s="288"/>
      <c r="CD119" s="288">
        <f t="shared" si="53"/>
        <v>228742.7</v>
      </c>
      <c r="CE119" s="288">
        <f t="shared" si="53"/>
        <v>68622.81</v>
      </c>
      <c r="CF119" s="288">
        <f t="shared" si="53"/>
        <v>160119.89000000001</v>
      </c>
      <c r="CG119" s="288"/>
      <c r="CH119" s="288">
        <f t="shared" si="53"/>
        <v>280375.62</v>
      </c>
      <c r="CI119" s="288">
        <f t="shared" si="53"/>
        <v>84123.22</v>
      </c>
      <c r="CJ119" s="288">
        <f t="shared" si="53"/>
        <v>196252.4</v>
      </c>
      <c r="CK119" s="288"/>
      <c r="CL119" s="288">
        <f t="shared" si="53"/>
        <v>1547283.62</v>
      </c>
      <c r="CM119" s="288">
        <f t="shared" ref="CM119:EO119" si="54">SUM(CM114:CM118)</f>
        <v>0</v>
      </c>
      <c r="CN119" s="288">
        <f t="shared" si="54"/>
        <v>1547283.62</v>
      </c>
      <c r="CO119" s="288"/>
      <c r="CP119" s="288" t="e">
        <f t="shared" si="54"/>
        <v>#REF!</v>
      </c>
      <c r="CQ119" s="288" t="e">
        <f t="shared" si="54"/>
        <v>#REF!</v>
      </c>
      <c r="CR119" s="288" t="e">
        <f t="shared" si="54"/>
        <v>#REF!</v>
      </c>
      <c r="CS119" s="288"/>
      <c r="CT119" s="288">
        <f t="shared" si="54"/>
        <v>452690.85</v>
      </c>
      <c r="CU119" s="288">
        <f t="shared" si="54"/>
        <v>0</v>
      </c>
      <c r="CV119" s="288">
        <f t="shared" si="54"/>
        <v>452690.85</v>
      </c>
      <c r="CW119" s="288"/>
      <c r="CX119" s="288">
        <f t="shared" si="54"/>
        <v>0</v>
      </c>
      <c r="CY119" s="288">
        <f t="shared" si="54"/>
        <v>0</v>
      </c>
      <c r="CZ119" s="288">
        <f t="shared" si="54"/>
        <v>0</v>
      </c>
      <c r="DA119" s="288" t="e">
        <f t="shared" si="54"/>
        <v>#VALUE!</v>
      </c>
      <c r="DB119" s="288">
        <f t="shared" si="54"/>
        <v>0</v>
      </c>
      <c r="DC119" s="288">
        <f t="shared" si="54"/>
        <v>0</v>
      </c>
      <c r="DD119" s="288">
        <f t="shared" si="54"/>
        <v>0</v>
      </c>
      <c r="DE119" s="288">
        <f t="shared" si="54"/>
        <v>0</v>
      </c>
      <c r="DF119" s="288">
        <f t="shared" si="54"/>
        <v>0</v>
      </c>
      <c r="DG119" s="288">
        <f t="shared" si="54"/>
        <v>0</v>
      </c>
      <c r="DH119" s="288">
        <f t="shared" si="54"/>
        <v>0</v>
      </c>
      <c r="DI119" s="288">
        <f t="shared" si="54"/>
        <v>0</v>
      </c>
      <c r="DJ119" s="288">
        <f t="shared" si="54"/>
        <v>0</v>
      </c>
      <c r="DK119" s="288">
        <f t="shared" si="54"/>
        <v>0</v>
      </c>
      <c r="DL119" s="288">
        <f t="shared" si="54"/>
        <v>0</v>
      </c>
      <c r="DM119" s="288">
        <f t="shared" si="54"/>
        <v>0</v>
      </c>
      <c r="DN119" s="288">
        <f t="shared" si="54"/>
        <v>0</v>
      </c>
      <c r="DO119" s="288">
        <f t="shared" si="54"/>
        <v>0</v>
      </c>
      <c r="DP119" s="288">
        <f t="shared" si="54"/>
        <v>0</v>
      </c>
      <c r="DQ119" s="288">
        <f t="shared" si="54"/>
        <v>0</v>
      </c>
      <c r="DR119" s="288">
        <f t="shared" si="54"/>
        <v>0</v>
      </c>
      <c r="DS119" s="288">
        <f t="shared" si="54"/>
        <v>0</v>
      </c>
      <c r="DT119" s="288">
        <f t="shared" si="54"/>
        <v>0</v>
      </c>
      <c r="DU119" s="288">
        <f t="shared" si="54"/>
        <v>0</v>
      </c>
      <c r="DV119" s="288">
        <f t="shared" si="54"/>
        <v>0</v>
      </c>
      <c r="DW119" s="288">
        <f t="shared" si="54"/>
        <v>0</v>
      </c>
      <c r="DX119" s="288">
        <f t="shared" si="54"/>
        <v>0</v>
      </c>
      <c r="DY119" s="288">
        <f t="shared" si="54"/>
        <v>0</v>
      </c>
      <c r="DZ119" s="288">
        <f t="shared" si="54"/>
        <v>0</v>
      </c>
      <c r="EA119" s="288">
        <f t="shared" si="54"/>
        <v>0</v>
      </c>
      <c r="EB119" s="288">
        <f t="shared" si="54"/>
        <v>0</v>
      </c>
      <c r="EC119" s="288">
        <f t="shared" si="54"/>
        <v>0</v>
      </c>
      <c r="ED119" s="288">
        <f t="shared" si="54"/>
        <v>0</v>
      </c>
      <c r="EE119" s="288">
        <f t="shared" si="54"/>
        <v>0</v>
      </c>
      <c r="EF119" s="288">
        <f t="shared" si="54"/>
        <v>0</v>
      </c>
      <c r="EG119" s="288">
        <f t="shared" si="54"/>
        <v>0</v>
      </c>
      <c r="EH119" s="288" t="e">
        <f t="shared" si="54"/>
        <v>#REF!</v>
      </c>
      <c r="EI119" s="288" t="e">
        <f t="shared" si="54"/>
        <v>#REF!</v>
      </c>
      <c r="EJ119" s="288" t="e">
        <f t="shared" si="54"/>
        <v>#REF!</v>
      </c>
      <c r="EK119" s="288" t="e">
        <f t="shared" si="54"/>
        <v>#REF!</v>
      </c>
      <c r="EL119" s="288" t="e">
        <f t="shared" si="54"/>
        <v>#REF!</v>
      </c>
      <c r="EM119" s="288" t="e">
        <f t="shared" si="54"/>
        <v>#REF!</v>
      </c>
      <c r="EN119" s="288" t="e">
        <f t="shared" si="54"/>
        <v>#REF!</v>
      </c>
      <c r="EO119" s="288" t="e">
        <f t="shared" si="54"/>
        <v>#REF!</v>
      </c>
      <c r="EP119" s="29"/>
      <c r="EQ119" s="29"/>
      <c r="ER119" s="29"/>
      <c r="ES119" s="29"/>
      <c r="ET119" s="29"/>
      <c r="EU119" s="29"/>
      <c r="EV119" s="29"/>
      <c r="EW119" s="29"/>
      <c r="EX119" s="29"/>
      <c r="EY119" s="29"/>
      <c r="EZ119" s="29"/>
      <c r="FC119" s="286" t="e">
        <f t="shared" si="41"/>
        <v>#REF!</v>
      </c>
    </row>
    <row r="120" spans="1:166">
      <c r="I120" s="32"/>
      <c r="K120" s="32"/>
      <c r="Z120" s="33"/>
      <c r="AA120" s="33"/>
      <c r="AB120" s="33"/>
      <c r="AC120" s="33"/>
      <c r="AF120" s="32"/>
      <c r="AG120" s="32"/>
      <c r="AJ120" s="32"/>
      <c r="AM120" s="32"/>
      <c r="AR120" s="32"/>
      <c r="EJ120" s="32"/>
      <c r="EL120" s="32"/>
    </row>
    <row r="121" spans="1:166">
      <c r="I121" s="32"/>
      <c r="Z121" s="31"/>
      <c r="AE121" s="32"/>
      <c r="AG121" s="32"/>
      <c r="AN121" s="32"/>
      <c r="EH121" s="32"/>
      <c r="EI121" s="32"/>
      <c r="EJ121" s="32"/>
      <c r="EK121" s="32"/>
      <c r="ER121" s="29"/>
      <c r="EU121" s="29"/>
      <c r="EZ121" s="29"/>
      <c r="FC121" s="29"/>
      <c r="FD121" s="29"/>
      <c r="FE121" s="203"/>
    </row>
    <row r="122" spans="1:166" ht="42">
      <c r="G122" s="435" t="s">
        <v>1412</v>
      </c>
      <c r="I122" s="32"/>
      <c r="J122" s="438" t="s">
        <v>1416</v>
      </c>
      <c r="K122" s="439" t="s">
        <v>1417</v>
      </c>
      <c r="P122" s="435" t="s">
        <v>1418</v>
      </c>
      <c r="Y122" s="34"/>
      <c r="Z122" s="442" t="s">
        <v>1425</v>
      </c>
      <c r="AF122" s="32"/>
      <c r="AG122" s="32"/>
      <c r="EH122" s="442" t="s">
        <v>1419</v>
      </c>
      <c r="EM122" s="442" t="s">
        <v>1420</v>
      </c>
      <c r="EQ122" s="35"/>
      <c r="ER122" s="36"/>
      <c r="EU122" s="37"/>
      <c r="EV122" s="37"/>
      <c r="EW122" s="37"/>
      <c r="EX122" s="37"/>
      <c r="EY122" s="37"/>
      <c r="EZ122" s="37"/>
      <c r="FA122" s="37"/>
      <c r="FB122" s="37"/>
      <c r="FC122" s="37"/>
      <c r="FD122" s="37"/>
      <c r="FE122" s="36"/>
    </row>
    <row r="123" spans="1:166" ht="21" hidden="1">
      <c r="G123" s="436" t="s">
        <v>1413</v>
      </c>
      <c r="H123" s="31"/>
      <c r="I123" s="31"/>
      <c r="J123" s="436">
        <f>SUM(J124:J131)</f>
        <v>107</v>
      </c>
      <c r="K123" s="440">
        <f>SUM(K124:K131)</f>
        <v>1846815868.8500001</v>
      </c>
      <c r="P123" s="436">
        <f>SUM(P124:P131)</f>
        <v>132</v>
      </c>
      <c r="Y123" s="34"/>
      <c r="Z123" s="440">
        <f>SUM(Z124:Z131)</f>
        <v>1644058648.1800003</v>
      </c>
      <c r="AH123" s="32"/>
      <c r="AJ123" s="32"/>
      <c r="EH123" s="436">
        <f>SUM(EH124:EH132)</f>
        <v>7</v>
      </c>
      <c r="EM123" s="436">
        <f>SUM(EM124:EM131)</f>
        <v>113</v>
      </c>
      <c r="EQ123" s="35"/>
      <c r="ER123" s="36"/>
      <c r="EU123" s="37"/>
      <c r="EV123" s="37"/>
      <c r="EW123" s="37"/>
      <c r="EX123" s="37"/>
      <c r="EY123" s="37"/>
      <c r="EZ123" s="37"/>
      <c r="FA123" s="37"/>
      <c r="FB123" s="37"/>
      <c r="FC123" s="37"/>
      <c r="FD123" s="37"/>
      <c r="FE123" s="36"/>
    </row>
    <row r="124" spans="1:166" ht="21" hidden="1">
      <c r="G124" s="436" t="s">
        <v>1414</v>
      </c>
      <c r="I124" s="31"/>
      <c r="J124" s="436">
        <v>24</v>
      </c>
      <c r="K124" s="440">
        <v>1077878383.9300001</v>
      </c>
      <c r="P124" s="436">
        <v>31</v>
      </c>
      <c r="Y124" s="34"/>
      <c r="Z124" s="440">
        <f>704607392.49+27486760.21</f>
        <v>732094152.70000005</v>
      </c>
      <c r="AG124" s="32"/>
      <c r="AH124" s="32"/>
      <c r="AQ124" s="32"/>
      <c r="EH124" s="436">
        <v>6</v>
      </c>
      <c r="EM124" s="436">
        <v>24</v>
      </c>
      <c r="EQ124" s="35"/>
      <c r="ER124" s="36"/>
      <c r="EU124" s="37"/>
      <c r="EV124" s="37"/>
      <c r="EW124" s="37"/>
      <c r="EX124" s="37"/>
      <c r="EY124" s="37"/>
      <c r="EZ124" s="37"/>
      <c r="FA124" s="37"/>
      <c r="FB124" s="37"/>
      <c r="FC124" s="37"/>
      <c r="FD124" s="37"/>
      <c r="FE124" s="36"/>
    </row>
    <row r="125" spans="1:166" ht="21" hidden="1">
      <c r="G125" s="436" t="s">
        <v>1415</v>
      </c>
      <c r="J125" s="436">
        <v>30</v>
      </c>
      <c r="K125" s="440">
        <v>296239004.17000002</v>
      </c>
      <c r="P125" s="436">
        <v>29</v>
      </c>
      <c r="Z125" s="440">
        <v>295238894.95999998</v>
      </c>
      <c r="AG125" s="38"/>
      <c r="AH125" s="32"/>
      <c r="AJ125" s="32"/>
      <c r="AT125" s="32"/>
      <c r="AZ125" s="32"/>
      <c r="BH125" s="32"/>
      <c r="EH125" s="436">
        <v>0</v>
      </c>
      <c r="EI125" s="31"/>
      <c r="EJ125" s="32"/>
      <c r="EM125" s="436">
        <v>25</v>
      </c>
      <c r="EQ125" s="35"/>
      <c r="ER125" s="36"/>
      <c r="EU125" s="37"/>
      <c r="EV125" s="37"/>
      <c r="EW125" s="37"/>
      <c r="EX125" s="37"/>
      <c r="EY125" s="37"/>
      <c r="EZ125" s="37" t="s">
        <v>131</v>
      </c>
      <c r="FA125" s="37"/>
      <c r="FB125" s="37"/>
      <c r="FC125" s="37"/>
      <c r="FD125" s="37"/>
      <c r="FE125" s="36"/>
    </row>
    <row r="126" spans="1:166" ht="56.25" customHeight="1">
      <c r="G126" s="436" t="s">
        <v>1421</v>
      </c>
      <c r="J126" s="436">
        <v>10</v>
      </c>
      <c r="K126" s="440">
        <v>111500000</v>
      </c>
      <c r="P126" s="444">
        <v>9</v>
      </c>
      <c r="Z126" s="446">
        <v>90242906.209999993</v>
      </c>
      <c r="AG126" s="38"/>
      <c r="AH126" s="32"/>
      <c r="AJ126" s="32"/>
      <c r="AT126" s="32"/>
      <c r="AZ126" s="32"/>
      <c r="BH126" s="32"/>
      <c r="EH126" s="436">
        <v>0</v>
      </c>
      <c r="EI126" s="31"/>
      <c r="EJ126" s="32"/>
      <c r="EM126" s="436">
        <v>8</v>
      </c>
      <c r="EQ126" s="35"/>
      <c r="ER126" s="36"/>
      <c r="EU126" s="37"/>
      <c r="EV126" s="37"/>
      <c r="EW126" s="37"/>
      <c r="EX126" s="37"/>
      <c r="EY126" s="37"/>
      <c r="EZ126" s="37"/>
      <c r="FA126" s="37"/>
      <c r="FB126" s="37"/>
      <c r="FC126" s="37"/>
      <c r="FD126" s="37"/>
      <c r="FE126" s="36"/>
    </row>
    <row r="127" spans="1:166" ht="21" hidden="1">
      <c r="G127" s="436" t="s">
        <v>1422</v>
      </c>
      <c r="J127" s="436">
        <v>19</v>
      </c>
      <c r="K127" s="440">
        <v>179960480.75</v>
      </c>
      <c r="P127" s="436">
        <v>18</v>
      </c>
      <c r="Z127" s="440">
        <v>179960480.75</v>
      </c>
      <c r="AG127" s="38"/>
      <c r="AH127" s="32"/>
      <c r="AJ127" s="32"/>
      <c r="AT127" s="32"/>
      <c r="AZ127" s="32"/>
      <c r="BH127" s="32"/>
      <c r="EH127" s="436">
        <v>0</v>
      </c>
      <c r="EI127" s="31"/>
      <c r="EJ127" s="32"/>
      <c r="EM127" s="436">
        <v>14</v>
      </c>
      <c r="EQ127" s="35"/>
      <c r="ER127" s="36"/>
      <c r="EU127" s="37"/>
      <c r="EV127" s="37"/>
      <c r="EW127" s="37"/>
      <c r="EX127" s="37"/>
      <c r="EY127" s="37"/>
      <c r="EZ127" s="37"/>
      <c r="FA127" s="37"/>
      <c r="FB127" s="37"/>
      <c r="FC127" s="37"/>
      <c r="FD127" s="37"/>
      <c r="FE127" s="36"/>
    </row>
    <row r="128" spans="1:166" ht="21" hidden="1">
      <c r="G128" s="436" t="s">
        <v>1423</v>
      </c>
      <c r="J128" s="436">
        <v>5</v>
      </c>
      <c r="K128" s="440">
        <v>26238000</v>
      </c>
      <c r="P128" s="436">
        <v>5</v>
      </c>
      <c r="Z128" s="440">
        <v>24806343.629999999</v>
      </c>
      <c r="AG128" s="38"/>
      <c r="AH128" s="32"/>
      <c r="AJ128" s="32"/>
      <c r="AT128" s="32"/>
      <c r="AZ128" s="32"/>
      <c r="BH128" s="32"/>
      <c r="EH128" s="436">
        <v>0</v>
      </c>
      <c r="EI128" s="31"/>
      <c r="EJ128" s="32"/>
      <c r="EM128" s="436">
        <v>3</v>
      </c>
      <c r="EQ128" s="35"/>
      <c r="ER128" s="36"/>
      <c r="EU128" s="37"/>
      <c r="EV128" s="37"/>
      <c r="EW128" s="37"/>
      <c r="EX128" s="37"/>
      <c r="EY128" s="37"/>
      <c r="EZ128" s="37"/>
      <c r="FA128" s="37"/>
      <c r="FB128" s="37"/>
      <c r="FC128" s="37"/>
      <c r="FD128" s="37"/>
      <c r="FE128" s="36"/>
    </row>
    <row r="129" spans="3:166" ht="21" hidden="1">
      <c r="G129" s="436" t="s">
        <v>1424</v>
      </c>
      <c r="J129" s="436">
        <v>2</v>
      </c>
      <c r="K129" s="440">
        <v>155000000</v>
      </c>
      <c r="P129" s="436">
        <v>2</v>
      </c>
      <c r="Z129" s="440">
        <v>150759313.19</v>
      </c>
      <c r="AG129" s="38"/>
      <c r="AH129" s="32"/>
      <c r="AJ129" s="32"/>
      <c r="AT129" s="32"/>
      <c r="AZ129" s="32"/>
      <c r="BH129" s="32"/>
      <c r="EH129" s="436">
        <v>1</v>
      </c>
      <c r="EI129" s="31"/>
      <c r="EJ129" s="32"/>
      <c r="EM129" s="436">
        <v>1</v>
      </c>
      <c r="EQ129" s="35"/>
      <c r="ER129" s="36"/>
      <c r="EU129" s="37"/>
      <c r="EV129" s="37"/>
      <c r="EW129" s="37"/>
      <c r="EX129" s="37"/>
      <c r="EY129" s="37"/>
      <c r="EZ129" s="37"/>
      <c r="FA129" s="37"/>
      <c r="FB129" s="37"/>
      <c r="FC129" s="37"/>
      <c r="FD129" s="37"/>
      <c r="FE129" s="36"/>
      <c r="FJ129" s="32"/>
    </row>
    <row r="130" spans="3:166" ht="21" hidden="1">
      <c r="G130" s="436" t="s">
        <v>1426</v>
      </c>
      <c r="I130" s="31"/>
      <c r="J130" s="437"/>
      <c r="K130" s="441"/>
      <c r="P130" s="437">
        <v>21</v>
      </c>
      <c r="Z130" s="440">
        <v>120589945.52000001</v>
      </c>
      <c r="AG130" s="32"/>
      <c r="AH130" s="32"/>
      <c r="AK130" s="32"/>
      <c r="AL130" s="32"/>
      <c r="BK130" s="32"/>
      <c r="EH130" s="436">
        <v>0</v>
      </c>
      <c r="EI130" s="436"/>
      <c r="EJ130" s="436"/>
      <c r="EK130" s="436"/>
      <c r="EL130" s="436"/>
      <c r="EM130" s="436">
        <v>21</v>
      </c>
      <c r="EQ130" s="39"/>
      <c r="ER130" s="40"/>
      <c r="EU130" s="41"/>
      <c r="EV130" s="41"/>
      <c r="EW130" s="41"/>
      <c r="EX130" s="41"/>
      <c r="EY130" s="41"/>
      <c r="EZ130" s="41" t="s">
        <v>131</v>
      </c>
      <c r="FA130" s="41"/>
      <c r="FB130" s="41"/>
      <c r="FC130" s="41"/>
      <c r="FD130" s="41" t="s">
        <v>131</v>
      </c>
      <c r="FE130" s="36"/>
    </row>
    <row r="131" spans="3:166" ht="21" hidden="1">
      <c r="G131" s="436" t="s">
        <v>69</v>
      </c>
      <c r="J131" s="436">
        <v>17</v>
      </c>
      <c r="K131" s="440">
        <v>0</v>
      </c>
      <c r="P131" s="436">
        <v>17</v>
      </c>
      <c r="Z131" s="440">
        <v>50366611.219999999</v>
      </c>
      <c r="EH131" s="436">
        <v>0</v>
      </c>
      <c r="EM131" s="436">
        <v>17</v>
      </c>
    </row>
    <row r="132" spans="3:166">
      <c r="I132" s="31"/>
      <c r="K132" s="32"/>
      <c r="AH132" s="32"/>
      <c r="AJ132" s="32"/>
      <c r="AL132" s="32"/>
      <c r="AN132" s="32"/>
      <c r="AT132" s="32"/>
    </row>
    <row r="133" spans="3:166">
      <c r="C133" s="42"/>
      <c r="BF133" s="32"/>
    </row>
    <row r="134" spans="3:166" ht="21">
      <c r="Z134" s="440">
        <v>1499758.05</v>
      </c>
      <c r="AJ134" s="32"/>
      <c r="ER134" s="29"/>
      <c r="EU134" s="29"/>
      <c r="EZ134" s="29"/>
      <c r="FC134" s="29"/>
      <c r="FD134" s="29"/>
      <c r="FE134" s="203"/>
    </row>
    <row r="135" spans="3:166" ht="21">
      <c r="Z135" s="440">
        <v>1499498.37</v>
      </c>
      <c r="AJ135" s="32"/>
      <c r="ER135" s="29"/>
      <c r="EU135" s="29"/>
      <c r="EZ135" s="29"/>
      <c r="FC135" s="29"/>
      <c r="FD135" s="29"/>
      <c r="FE135" s="203"/>
    </row>
    <row r="136" spans="3:166" ht="21">
      <c r="Z136" s="440">
        <v>1499981.03</v>
      </c>
      <c r="AJ136" s="32"/>
      <c r="ER136" s="29"/>
      <c r="EU136" s="29"/>
      <c r="EZ136" s="29"/>
      <c r="FC136" s="29"/>
      <c r="FD136" s="29"/>
      <c r="FE136" s="203"/>
    </row>
    <row r="137" spans="3:166" ht="21">
      <c r="Z137" s="440">
        <v>4048362.1</v>
      </c>
      <c r="EQ137" s="35"/>
      <c r="ER137" s="43"/>
      <c r="EU137" s="43"/>
      <c r="EV137" s="43"/>
      <c r="EW137" s="43"/>
      <c r="EX137" s="43"/>
      <c r="EY137" s="43"/>
      <c r="EZ137" s="43"/>
      <c r="FA137" s="43"/>
      <c r="FB137" s="43"/>
      <c r="FC137" s="43"/>
      <c r="FD137" s="43"/>
      <c r="FE137" s="43"/>
      <c r="FG137" s="31"/>
    </row>
    <row r="138" spans="3:166" ht="21">
      <c r="Z138" s="440">
        <v>3500000</v>
      </c>
      <c r="EQ138" s="35"/>
      <c r="ER138" s="43"/>
      <c r="EU138" s="43"/>
      <c r="EV138" s="43"/>
      <c r="EW138" s="43"/>
      <c r="EX138" s="43"/>
      <c r="EY138" s="43"/>
      <c r="EZ138" s="43"/>
      <c r="FA138" s="43"/>
      <c r="FB138" s="43"/>
      <c r="FC138" s="43"/>
      <c r="FD138" s="43"/>
      <c r="FE138" s="43"/>
      <c r="FG138" s="31"/>
    </row>
    <row r="139" spans="3:166" ht="21">
      <c r="K139" s="32"/>
      <c r="Z139" s="445">
        <f>SUM(Z134:Z138)</f>
        <v>12047599.550000001</v>
      </c>
      <c r="AD139" s="44"/>
      <c r="EQ139" s="35"/>
      <c r="ER139" s="43"/>
      <c r="EU139" s="43"/>
      <c r="EV139" s="43"/>
      <c r="EW139" s="43"/>
      <c r="EX139" s="43"/>
      <c r="EY139" s="43"/>
      <c r="EZ139" s="43"/>
      <c r="FA139" s="43"/>
      <c r="FB139" s="43"/>
      <c r="FC139" s="43"/>
      <c r="FD139" s="43"/>
      <c r="FE139" s="43"/>
      <c r="FG139" s="31"/>
    </row>
    <row r="140" spans="3:166">
      <c r="EQ140" s="39"/>
      <c r="ER140" s="45"/>
      <c r="ES140" s="45"/>
      <c r="ET140" s="45"/>
      <c r="EU140" s="45"/>
      <c r="EV140" s="45"/>
      <c r="EW140" s="45"/>
      <c r="EX140" s="45"/>
      <c r="EY140" s="45"/>
      <c r="EZ140" s="45"/>
      <c r="FA140" s="45"/>
      <c r="FB140" s="45"/>
      <c r="FC140" s="45"/>
      <c r="FD140" s="45"/>
      <c r="FE140" s="43"/>
      <c r="FG140" s="31"/>
    </row>
    <row r="142" spans="3:166">
      <c r="ER142" s="31"/>
      <c r="EU142" s="31"/>
      <c r="EV142" s="31"/>
      <c r="EW142" s="31"/>
      <c r="EX142" s="31"/>
      <c r="EY142" s="31"/>
      <c r="EZ142" s="31"/>
      <c r="FA142" s="31"/>
      <c r="FB142" s="31"/>
      <c r="FC142" s="31"/>
      <c r="FD142" s="31"/>
      <c r="FE142" s="31"/>
    </row>
    <row r="144" spans="3:166">
      <c r="BI144" s="46"/>
    </row>
  </sheetData>
  <autoFilter ref="A6:FJ118" xr:uid="{00000000-0009-0000-0000-000001000000}">
    <filterColumn colId="15">
      <filters>
        <filter val="CAEM-DGIG-PAD-043-22-CP_x000a_"/>
        <filter val="CAEM-DGIG-PAD-044-22-CP"/>
        <filter val="CAEM-DGIG-PAD-045-22-CP"/>
        <filter val="CAEM-DGIG-PAD-046-22-CP"/>
        <filter val="CAEM-DGIG-PAD-144-22-CP"/>
        <filter val="CAEM-DGIG-PAD-145-22-CP"/>
      </filters>
    </filterColumn>
  </autoFilter>
  <mergeCells count="2">
    <mergeCell ref="A2:FJ2"/>
    <mergeCell ref="F3:FJ3"/>
  </mergeCells>
  <hyperlinks>
    <hyperlink ref="B7" r:id="rId1" xr:uid="{692C5C7C-24ED-48AC-84D5-0F28C91CA4DC}"/>
    <hyperlink ref="B8" r:id="rId2" xr:uid="{5EDE352C-309A-4086-A3D7-3DA76BF7EA28}"/>
    <hyperlink ref="B9" r:id="rId3" xr:uid="{7582C736-7505-46FE-A168-6796B1D92AEF}"/>
    <hyperlink ref="B10" r:id="rId4" xr:uid="{5180824A-EE91-4042-9D27-9056EAAAF76F}"/>
    <hyperlink ref="B11" r:id="rId5" xr:uid="{30A1D63B-A8DB-421E-8FEA-4D966D9A4A6D}"/>
    <hyperlink ref="B77" r:id="rId6" xr:uid="{471517C0-FDF0-4141-A61F-0BBF3F5597F2}"/>
    <hyperlink ref="B78" r:id="rId7" xr:uid="{BDFAB5D8-FD66-4A69-AB89-1642C59255FA}"/>
    <hyperlink ref="B80" r:id="rId8" xr:uid="{BD756118-0B27-474C-BBD1-A33E3482293B}"/>
    <hyperlink ref="B79" r:id="rId9" xr:uid="{4F66E881-4D2B-4FDA-BBB7-35FDC4D7E46A}"/>
    <hyperlink ref="B39" r:id="rId10" display="OFICIOS 2022 ASIGNACIÓN, AUTORIZACIÓN Y CANCELACIÓN\20704000L-APAD-0173-22.pdf" xr:uid="{B55F1CA4-DD30-4AEF-B33D-471B57425C54}"/>
    <hyperlink ref="B40" r:id="rId11" display="OFICIOS 2022 ASIGNACIÓN, AUTORIZACIÓN Y CANCELACIÓN\20704000L-APAD-0173-22.pdf" xr:uid="{E62BF027-AC69-4EEB-9946-A65CB4085984}"/>
    <hyperlink ref="B41" r:id="rId12" display="OFICIOS 2022 ASIGNACIÓN, AUTORIZACIÓN Y CANCELACIÓN\20704000L-APAD-0173-22.pdf" xr:uid="{ABC7D051-5DB4-4BBA-9F5C-5C43AC2DAB20}"/>
    <hyperlink ref="B42" r:id="rId13" display="OFICIOS 2022 ASIGNACIÓN, AUTORIZACIÓN Y CANCELACIÓN\20704000L-APAD-0173-22.pdf" xr:uid="{4ED9B76D-C913-4DB0-B500-A631E98D76D2}"/>
    <hyperlink ref="B74" r:id="rId14" xr:uid="{B811133E-4C09-4866-B52D-E73CD4635E8F}"/>
    <hyperlink ref="C74" r:id="rId15" xr:uid="{FF1FC17B-A021-428C-9904-28FC6D3E62F7}"/>
    <hyperlink ref="B43" r:id="rId16" display="OFICIOS 2022 ASIGNACIÓN, AUTORIZACIÓN Y CANCELACIÓN\20704000L-APAD-0227-22.pdf" xr:uid="{86510ED3-B458-4D4A-865C-6DF6FA677BEE}"/>
    <hyperlink ref="B75" r:id="rId17" xr:uid="{7B114BA4-47F6-4441-A615-9780E73A28E3}"/>
    <hyperlink ref="B44" r:id="rId18" xr:uid="{90C80FD9-959A-4EBB-A133-9479211B3748}"/>
    <hyperlink ref="B45" r:id="rId19" xr:uid="{70C819B0-6A53-4EAF-9C81-07F5FE6ACF35}"/>
    <hyperlink ref="B46" r:id="rId20" xr:uid="{E3093D4D-A971-4AE9-9572-55A06D951D61}"/>
    <hyperlink ref="B47" r:id="rId21" xr:uid="{5F7D2CF6-FE81-4BFF-8F33-8FD7667260F8}"/>
    <hyperlink ref="C77" r:id="rId22" xr:uid="{E674B7AF-A742-4D83-ACF1-79C6974DFCA9}"/>
    <hyperlink ref="B49" r:id="rId23" xr:uid="{14CCBAB4-4709-4A45-A4E4-0E23B6CEBAF9}"/>
    <hyperlink ref="B50" r:id="rId24" xr:uid="{B8CEF6B8-3454-44A6-A133-48D83C959446}"/>
    <hyperlink ref="B51" r:id="rId25" xr:uid="{589E4BDC-1CE4-4C3A-8C99-EC0330E5E3CA}"/>
    <hyperlink ref="B52" r:id="rId26" xr:uid="{2A41C8FA-3ECA-441D-8F40-C9D7F631D0FC}"/>
    <hyperlink ref="B53" r:id="rId27" xr:uid="{2EDFFF86-5B4B-4113-A6E4-89A4EA2E3703}"/>
    <hyperlink ref="B54" r:id="rId28" xr:uid="{C49473C9-2EC7-4511-A814-9E8609EC5764}"/>
    <hyperlink ref="B55" r:id="rId29" xr:uid="{89DCA51A-741E-485B-A71F-2B7F72F158A3}"/>
    <hyperlink ref="B56" r:id="rId30" xr:uid="{98CCAF40-893B-4F2A-90D1-F9D9E60A4FCB}"/>
    <hyperlink ref="B57" r:id="rId31" xr:uid="{2C5E9462-28A5-4514-828B-D99252F8AA0D}"/>
    <hyperlink ref="B58" r:id="rId32" xr:uid="{2C94AA25-5972-4C93-9625-9EBF5D34D4BC}"/>
    <hyperlink ref="B59" r:id="rId33" display="OFICIOS 2022 ASIGNACIÓN, AUTORIZACIÓN Y CANCELACIÓN\20704000L-APAD-0247-22.pdf" xr:uid="{4F432A90-E57D-462C-BEF0-822ECC1CFAC4}"/>
    <hyperlink ref="B60" r:id="rId34" xr:uid="{06BC8ABB-64C7-4E0A-8989-8EFE5A9855D4}"/>
    <hyperlink ref="B61" r:id="rId35" xr:uid="{CC3245D0-E693-4661-9DB6-AC3212F81599}"/>
    <hyperlink ref="B62" r:id="rId36" xr:uid="{CC402C86-0171-4566-B8AC-8D45496AF3FD}"/>
    <hyperlink ref="B63" r:id="rId37" xr:uid="{BC9AFCA1-784E-4A68-884F-7371C5A519FF}"/>
    <hyperlink ref="B64" r:id="rId38" xr:uid="{12D8315C-DB30-469E-88F1-E47F6D196983}"/>
    <hyperlink ref="B65" r:id="rId39" xr:uid="{58FC2BEE-BA57-4B0C-A6EB-2DE24246858E}"/>
    <hyperlink ref="B66" r:id="rId40" xr:uid="{086CB701-B806-4C14-AA87-925D5D26A852}"/>
    <hyperlink ref="B67" r:id="rId41" xr:uid="{110CD41F-35A7-4DC9-BE60-12640DD9158A}"/>
    <hyperlink ref="B68" r:id="rId42" xr:uid="{C876138A-3986-4AF8-9BB3-B643DE9C0E64}"/>
    <hyperlink ref="B69" r:id="rId43" xr:uid="{7ED28D58-626A-4C0D-A027-2468943934CE}"/>
    <hyperlink ref="B70" r:id="rId44" xr:uid="{8CB8AEE8-1697-4A4F-9D68-8D4362014D91}"/>
    <hyperlink ref="B71" r:id="rId45" xr:uid="{7934F3D4-0967-4290-99C5-C84E2A908D37}"/>
    <hyperlink ref="B72" r:id="rId46" xr:uid="{E5976CD7-405C-4756-8BD3-81A7EC142D55}"/>
    <hyperlink ref="B82" r:id="rId47" xr:uid="{1BAA2241-D1A7-4ECE-BFF3-33596CB26411}"/>
    <hyperlink ref="C78" r:id="rId48" xr:uid="{9F25D48C-BB6B-4CB9-AC7D-3A0E380562D9}"/>
    <hyperlink ref="C80" r:id="rId49" xr:uid="{4FFD1C9F-7229-4CFE-8C62-964BE0DE812A}"/>
    <hyperlink ref="C75" r:id="rId50" xr:uid="{B0DD2EDC-44C8-45B2-AB89-56DD2D8F12BE}"/>
    <hyperlink ref="B83" r:id="rId51" xr:uid="{CCF713DC-49EF-42BB-9F2E-C408546086B2}"/>
    <hyperlink ref="B84" r:id="rId52" xr:uid="{6C7A2145-81F0-494B-81E3-5E5B0CF6CCDD}"/>
    <hyperlink ref="B85" r:id="rId53" xr:uid="{11507ACD-73E9-465A-B9BB-85022B0C4713}"/>
    <hyperlink ref="B86" r:id="rId54" xr:uid="{3D945C1C-622D-4545-865A-3795A57287C2}"/>
    <hyperlink ref="B87" r:id="rId55" xr:uid="{7EFDB9E2-FB81-468B-8766-CC497DFA4848}"/>
    <hyperlink ref="B88" r:id="rId56" xr:uid="{92BC65C8-4364-4987-8382-5BD6FE50F3E3}"/>
    <hyperlink ref="B89" r:id="rId57" xr:uid="{86598D3B-A4D8-4BB5-8CCC-240E70B80F2E}"/>
    <hyperlink ref="B90" r:id="rId58" xr:uid="{2517A9A5-3D4F-4E14-860E-3D87A73AE63B}"/>
    <hyperlink ref="B91" r:id="rId59" xr:uid="{DB8A881B-751B-4BFD-8A60-3EDF5CF87047}"/>
    <hyperlink ref="B92" r:id="rId60" xr:uid="{C7A5C4B3-86D3-42D7-8B2D-42933DA2AC02}"/>
    <hyperlink ref="B93" r:id="rId61" xr:uid="{1C26CBDD-146A-44EA-98A2-C63AB286EA42}"/>
    <hyperlink ref="B94" r:id="rId62" xr:uid="{163E9505-52BE-4234-8FF7-9B357C91C092}"/>
    <hyperlink ref="B95" r:id="rId63" xr:uid="{ED5B80A2-B8B9-40B4-9192-4B5153C210BE}"/>
    <hyperlink ref="B96" r:id="rId64" xr:uid="{CB7CDCC6-0980-414D-92CF-1022DD723EFF}"/>
    <hyperlink ref="B97" r:id="rId65" xr:uid="{7260C1AB-E04B-4DA2-A74C-F628C9064B67}"/>
    <hyperlink ref="B98" r:id="rId66" xr:uid="{149728AD-7089-47B8-AD51-B769734024CB}"/>
    <hyperlink ref="B99" r:id="rId67" xr:uid="{168F1F7C-AEA8-400F-A0EF-595E8C8E13D7}"/>
    <hyperlink ref="B100" r:id="rId68" xr:uid="{DBA93577-F563-41D0-91C9-AE3EBD564D52}"/>
    <hyperlink ref="B101" r:id="rId69" xr:uid="{04DB6D65-5D73-470E-8744-CEEAF5D2AD49}"/>
    <hyperlink ref="B73" r:id="rId70" xr:uid="{C3954630-ABB0-4E96-A10E-F197C2A00EA9}"/>
    <hyperlink ref="B16" r:id="rId71" display="OFICIOS 2022 ASIGNACIÓN, AUTORIZACIÓN Y CANCELACIÓN\20704000L-APAD-OF-0367-22.pdf" xr:uid="{E72CBEBB-0926-40FC-BBB5-1EDF2816E40B}"/>
    <hyperlink ref="C49" r:id="rId72" xr:uid="{C9556EFC-EFD4-438B-BF75-8EF5C10F43BB}"/>
    <hyperlink ref="C56" r:id="rId73" xr:uid="{67DE8894-2A80-486C-A788-F88620DBE902}"/>
    <hyperlink ref="C69" r:id="rId74" xr:uid="{3EC699A2-DE1E-4685-A62C-1DF7915F063E}"/>
    <hyperlink ref="C63" r:id="rId75" xr:uid="{6D79CCCC-5288-4B1B-8E3A-4E60548C91D6}"/>
    <hyperlink ref="C66" r:id="rId76" xr:uid="{E8EB1B81-C5F4-4CEB-B771-B3108BB204D4}"/>
    <hyperlink ref="C70" r:id="rId77" xr:uid="{341B54A7-8944-4C82-B0A1-A2D255BDD311}"/>
    <hyperlink ref="C72" r:id="rId78" xr:uid="{E3025573-B70B-45F4-8EF7-EA908FF33261}"/>
    <hyperlink ref="C73" r:id="rId79" xr:uid="{77016236-A4CC-4902-A794-0FAB7CF093D7}"/>
    <hyperlink ref="C40" r:id="rId80" display="OFICIOS 2022 ASIGNACIÓN, AUTORIZACIÓN Y CANCELACIÓN\20704000L-APAD-0419-22.pdf" xr:uid="{087FCD0E-69CC-4517-ADDB-9CFBDDCD03A4}"/>
    <hyperlink ref="C79" r:id="rId81" xr:uid="{F8DF345D-742E-4931-82ED-7448FBA351B0}"/>
    <hyperlink ref="C82" r:id="rId82" xr:uid="{5253F681-8D31-4DB9-AA39-5B63309799D9}"/>
    <hyperlink ref="B12" r:id="rId83" xr:uid="{DFECBC66-443A-40BC-8E4E-67741F1BD3E4}"/>
    <hyperlink ref="C54" r:id="rId84" xr:uid="{4A310977-1A03-48D2-B417-7DC3F4560D4E}"/>
    <hyperlink ref="C58" r:id="rId85" xr:uid="{E90A221C-114E-4D58-AFE5-C2F9B119D0E1}"/>
    <hyperlink ref="C59" r:id="rId86" xr:uid="{4A3AB1A0-4E3E-4097-80CB-36954D075E1D}"/>
    <hyperlink ref="C65" r:id="rId87" xr:uid="{054FCE0A-B669-465F-B8C7-FA5BD400FC9F}"/>
    <hyperlink ref="C39" r:id="rId88" display="OFICIOS 2022 ASIGNACIÓN, AUTORIZACIÓN Y CANCELACIÓN\20704000L-APAD-0434-22.pdf" xr:uid="{E847B4E7-70BD-4F7C-9349-B5462C222A41}"/>
    <hyperlink ref="C42" r:id="rId89" display="OFICIOS 2022 ASIGNACIÓN, AUTORIZACIÓN Y CANCELACIÓN\20704000L-APAD-0434-22.pdf" xr:uid="{2D5B2664-DCDB-40DB-AFF0-B68F1E0EBB06}"/>
    <hyperlink ref="C41" r:id="rId90" display="OFICIOS 2022 ASIGNACIÓN, AUTORIZACIÓN Y CANCELACIÓN\20704000L-APAD-0443-22.pdf" xr:uid="{DA080B33-5806-4A3E-ADDF-57C6BCDEA685}"/>
    <hyperlink ref="C64" r:id="rId91" xr:uid="{6F5849E8-1ED1-472A-A355-4F27D0C86308}"/>
    <hyperlink ref="C71" r:id="rId92" xr:uid="{95196375-CCA7-41C2-94D0-CBF97FBD6E30}"/>
    <hyperlink ref="C50" r:id="rId93" xr:uid="{B192336E-263D-4E9A-8050-5056CFB15048}"/>
    <hyperlink ref="C51" r:id="rId94" xr:uid="{E1D22D66-43F2-4DD3-ABF4-C71C2A8E0A19}"/>
    <hyperlink ref="C53" r:id="rId95" xr:uid="{4E2FA4AB-40C6-4ECE-80AF-C2B38AC0780A}"/>
    <hyperlink ref="C62" r:id="rId96" xr:uid="{E234E7D0-50E8-4E8A-AF06-64CCAB6BE5B3}"/>
    <hyperlink ref="C52" r:id="rId97" xr:uid="{44FBF122-968E-4A38-98CB-86D2F563FB60}"/>
    <hyperlink ref="C60" r:id="rId98" xr:uid="{E9161036-B14C-4B8D-ADC4-5143BF69F81A}"/>
    <hyperlink ref="C61" r:id="rId99" xr:uid="{00FB3EE9-C225-4672-B7A5-E8EA1A7B8456}"/>
    <hyperlink ref="C67" r:id="rId100" xr:uid="{3577165C-6AD9-4D36-87AA-3014BFBC3B51}"/>
    <hyperlink ref="C55" r:id="rId101" xr:uid="{7E5BA4BC-4C4B-4863-805F-686EC89FD1E1}"/>
    <hyperlink ref="C68" r:id="rId102" xr:uid="{462F1B9A-369E-40C2-B6CF-63907FD68AAA}"/>
    <hyperlink ref="B48" r:id="rId103" xr:uid="{1D56BA69-9F5C-4D65-8F1E-B8010619091B}"/>
    <hyperlink ref="D11" r:id="rId104" xr:uid="{4E997CBC-270A-41AE-B751-7E12D169922A}"/>
    <hyperlink ref="B76" r:id="rId105" xr:uid="{D8ECEE1B-AD26-40F2-8E37-39427C18E4AD}"/>
    <hyperlink ref="C12" r:id="rId106" xr:uid="{86D74833-F974-4DE4-B920-34B265BD950C}"/>
    <hyperlink ref="B17" r:id="rId107" xr:uid="{FD37994E-8633-4C79-9583-486AD5578B8F}"/>
    <hyperlink ref="C16" r:id="rId108" display="OFICIOS 2022 ASIGNACIÓN, AUTORIZACIÓN Y CANCELACIÓN\20704000L-APAD-OF-0367-22.pdf" xr:uid="{6019B911-A1DB-47E6-AFE2-338DFE6ACA27}"/>
    <hyperlink ref="C17" r:id="rId109" xr:uid="{9BA77504-D6D5-44D3-B03F-2F4D57E157D2}"/>
    <hyperlink ref="C18" r:id="rId110" xr:uid="{A87AC904-5616-4815-9189-E10459615D89}"/>
    <hyperlink ref="C19" r:id="rId111" xr:uid="{CD676782-4523-438C-9D96-F4F228B1CD9D}"/>
    <hyperlink ref="B19" r:id="rId112" xr:uid="{1AFDEB7F-7331-4F35-AFB9-BE64D8CA9102}"/>
    <hyperlink ref="B18" r:id="rId113" xr:uid="{DBCB2159-4689-4D04-9E3C-4E86A0757751}"/>
    <hyperlink ref="C83" r:id="rId114" xr:uid="{C38F56FD-AFBF-4B54-80E3-5E9D19E8900B}"/>
    <hyperlink ref="C84" r:id="rId115" xr:uid="{CC67EC21-91FB-4BB3-8F09-E858C898129D}"/>
    <hyperlink ref="C85" r:id="rId116" xr:uid="{65DF91D8-13A6-46F0-8D74-E6E50325A05B}"/>
    <hyperlink ref="C86" r:id="rId117" xr:uid="{C83DFA4A-0471-4883-A73D-8E0A092CC56F}"/>
    <hyperlink ref="C87" r:id="rId118" xr:uid="{021A5BDD-D7DF-40ED-99EC-446F693339C2}"/>
    <hyperlink ref="C88" r:id="rId119" xr:uid="{AECCC78D-F117-47DA-8473-44960B96AB9F}"/>
    <hyperlink ref="C89" r:id="rId120" xr:uid="{7F8EA1EE-DAD5-4909-A3B5-CC994B89D059}"/>
    <hyperlink ref="C90" r:id="rId121" xr:uid="{8DB3DF9B-2C82-4000-A423-B1001B8BC391}"/>
    <hyperlink ref="C91" r:id="rId122" xr:uid="{4F70D28D-DBFB-48AE-B028-0DDEB5F22866}"/>
    <hyperlink ref="C92" r:id="rId123" xr:uid="{0F4CF513-330B-4ABE-9AF2-808FAF3B9F3D}"/>
    <hyperlink ref="C93" r:id="rId124" xr:uid="{FD9AA301-B95E-40B2-8F0E-29CA3AEEFECA}"/>
    <hyperlink ref="C94" r:id="rId125" xr:uid="{EBC96448-C2F6-4864-8452-B0FC94D1E320}"/>
    <hyperlink ref="C95" r:id="rId126" xr:uid="{60367B80-FCB8-43F4-B64D-89D4135839CC}"/>
    <hyperlink ref="C96" r:id="rId127" xr:uid="{3EE8052D-F2D6-4EF8-AE0B-5F863AD3148A}"/>
    <hyperlink ref="C97" r:id="rId128" xr:uid="{2AF579BD-D824-4A01-814C-C465A29D2EFB}"/>
    <hyperlink ref="C98" r:id="rId129" xr:uid="{0A9D6093-60BC-47C7-8835-67ABD097B6F8}"/>
    <hyperlink ref="C99" r:id="rId130" xr:uid="{15DE5FE3-1C9E-467F-9E17-64A1D5799B0E}"/>
    <hyperlink ref="C100" r:id="rId131" xr:uid="{4ED96E08-7C07-41CB-9A8B-0B6ED9946A1C}"/>
    <hyperlink ref="C101" r:id="rId132" xr:uid="{876BF686-E9AA-4027-9A85-AEA21F9B58AD}"/>
    <hyperlink ref="B102" r:id="rId133" display="OFICIOS 2022 ASIGNACIÓN, AUTORIZACIÓN Y CANCELACIÓN\20704000L-APAD-0690-22.pdf" xr:uid="{AB3F671F-083A-48BA-B4E2-BA4D0CD69C8D}"/>
    <hyperlink ref="C102" r:id="rId134" display="OFICIOS 2022 ASIGNACIÓN, AUTORIZACIÓN Y CANCELACIÓN\20704000L-APAD-0690-22.pdf" xr:uid="{10FEA679-8702-4A05-A6F8-7599614553B3}"/>
    <hyperlink ref="C103" r:id="rId135" display="OFICIOS 2022 ASIGNACIÓN, AUTORIZACIÓN Y CANCELACIÓN\20704000L-APAD-0690-22.pdf" xr:uid="{27639B36-683E-4A81-B51E-803359300DC5}"/>
    <hyperlink ref="D45" r:id="rId136" xr:uid="{E5A01A99-962C-4388-8649-616818DC7DCB}"/>
    <hyperlink ref="C43" r:id="rId137" display="OFICIOS 2022 ASIGNACIÓN, AUTORIZACIÓN Y CANCELACIÓN\20704000L-APAD-0756-22.pdf" xr:uid="{30C4D347-31CA-4F46-A96D-088F70B4E088}"/>
    <hyperlink ref="C48" r:id="rId138" xr:uid="{A5282DE5-E373-47B2-8B4B-45A7531BB523}"/>
    <hyperlink ref="C44" r:id="rId139" xr:uid="{9BFC140E-0300-4AEB-BDEF-3CD196A7C267}"/>
    <hyperlink ref="C47" r:id="rId140" xr:uid="{54F1EEC0-771E-4804-9DA5-B8C90E1405D1}"/>
    <hyperlink ref="B103" r:id="rId141" display="OFICIOS 2022 ASIGNACIÓN, AUTORIZACIÓN Y CANCELACIÓN\20704000L-APAD-0690-22.pdf" xr:uid="{1FA4EB83-1165-4FB3-B5D9-0E864FD6599C}"/>
    <hyperlink ref="B104" r:id="rId142" xr:uid="{D319F72E-E6CA-4422-A8D5-61CE1567F884}"/>
    <hyperlink ref="B105" r:id="rId143" xr:uid="{7B1C993A-5AFC-4DFD-92F9-FC592CF62847}"/>
    <hyperlink ref="B106" r:id="rId144" xr:uid="{8FE55D91-5D4E-4333-B39D-793A8FA67924}"/>
    <hyperlink ref="B107" r:id="rId145" xr:uid="{9C90886F-C0E3-4885-AE76-9BC5F78669C7}"/>
    <hyperlink ref="B108" r:id="rId146" xr:uid="{33269F56-BA20-4BAE-859C-DDD0664B498E}"/>
    <hyperlink ref="D86" r:id="rId147" xr:uid="{376E7D40-90AB-49CF-834F-7AE22966D100}"/>
    <hyperlink ref="C46" r:id="rId148" xr:uid="{5C6641B0-C257-4A3B-A816-D4F5DF6BA4F2}"/>
    <hyperlink ref="D37" r:id="rId149" xr:uid="{C8FE135C-0AD9-412A-BBC8-5168B08D1708}"/>
    <hyperlink ref="D49" r:id="rId150" xr:uid="{5D2059FB-4AA1-4658-9E4C-6B1A68CB5AF7}"/>
    <hyperlink ref="D50" r:id="rId151" xr:uid="{366DCE4B-5C81-4DC9-940F-EDC6AC05CD60}"/>
    <hyperlink ref="D51" r:id="rId152" xr:uid="{F282809D-BD97-4162-A652-28B568E1411F}"/>
    <hyperlink ref="D52" r:id="rId153" xr:uid="{A4D78F0D-2DBD-46EB-B63B-FF05F2AB4B30}"/>
    <hyperlink ref="D53" r:id="rId154" xr:uid="{3506A9A1-955D-497F-9650-24C7AB10ABAB}"/>
    <hyperlink ref="D54" r:id="rId155" xr:uid="{1465830D-471B-4C3A-8AB0-E4F382C3D923}"/>
    <hyperlink ref="D55" r:id="rId156" xr:uid="{F407F34E-8B10-4696-90C6-618EF5D356E3}"/>
    <hyperlink ref="D56" r:id="rId157" xr:uid="{721271F6-F974-46FF-972B-F8A6FC043AC1}"/>
    <hyperlink ref="D57" r:id="rId158" xr:uid="{EB6C8710-5F8B-4AC4-83FD-3C4CC9835EC7}"/>
    <hyperlink ref="D58" r:id="rId159" xr:uid="{1FE7437C-0420-4487-9C3B-066A28E383E0}"/>
    <hyperlink ref="D60" r:id="rId160" xr:uid="{BF3FF537-B6DE-428A-AB6F-6BE30B3028E6}"/>
    <hyperlink ref="D61" r:id="rId161" xr:uid="{E10FDD1E-6F85-48B2-8C96-2534E7C17B14}"/>
    <hyperlink ref="D62" r:id="rId162" xr:uid="{E96573BB-82FF-4273-ADFD-EE04CFC6B99A}"/>
    <hyperlink ref="D63" r:id="rId163" xr:uid="{CD9C20D9-2FE7-4305-9C7A-496178ABF932}"/>
    <hyperlink ref="D64" r:id="rId164" xr:uid="{BED7A2E6-90BC-4649-A011-69A5E7D7C4D7}"/>
    <hyperlink ref="D65" r:id="rId165" xr:uid="{4A6C0835-6026-41C1-8DDB-4457053F7547}"/>
    <hyperlink ref="D66" r:id="rId166" xr:uid="{C40658DF-416C-413E-BFD9-3593696C64F8}"/>
    <hyperlink ref="D67" r:id="rId167" xr:uid="{33CCBAFC-E2A0-4645-A7D1-7969CEE68DD9}"/>
    <hyperlink ref="D68" r:id="rId168" xr:uid="{583DEBDB-EB66-44DA-9B03-8DC51332B54E}"/>
    <hyperlink ref="D69" r:id="rId169" xr:uid="{E69291A9-007F-4118-A3E0-57D19F5D4DF4}"/>
    <hyperlink ref="D70" r:id="rId170" xr:uid="{7CE3B590-8B19-4872-9AEA-436926973111}"/>
    <hyperlink ref="D71" r:id="rId171" xr:uid="{C562FA38-8479-4B09-A882-416701BFBDFD}"/>
    <hyperlink ref="D72" r:id="rId172" xr:uid="{CB9BFECC-6F27-4958-A558-B0C3E0BDABCB}"/>
    <hyperlink ref="D73" r:id="rId173" xr:uid="{C2041A55-383C-4FAD-9458-0A0829E8D333}"/>
    <hyperlink ref="B109" r:id="rId174" xr:uid="{2A552728-0ED8-4DBA-8651-5172A90D300D}"/>
    <hyperlink ref="B110:B113" r:id="rId175" display="OFICIOS 2022 ASIGNACIÓN, AUTORIZACIÓN Y CANCELACIÓN\20704000L-APAD-0815-22.pdf" xr:uid="{A5F3D766-85B7-480F-BF57-BA93BB43892C}"/>
    <hyperlink ref="B38" r:id="rId176" xr:uid="{43EA6127-241C-4135-97EA-CA8B1EAFC63A}"/>
    <hyperlink ref="C38" r:id="rId177" xr:uid="{5EEC89FF-8CF3-464C-943F-D676BDFEF870}"/>
    <hyperlink ref="D83" r:id="rId178" xr:uid="{9C07FCF4-703C-49B0-9AD3-2295EA93E9AB}"/>
    <hyperlink ref="D84" r:id="rId179" xr:uid="{521726F4-E1A4-43A0-9E95-7408FCBD4388}"/>
    <hyperlink ref="D85" r:id="rId180" xr:uid="{0007D67A-CC5B-4C82-BC3C-45C0569D83DE}"/>
    <hyperlink ref="D87" r:id="rId181" xr:uid="{99F361E8-92B4-4DF7-87A0-F4FBCFE6F625}"/>
    <hyperlink ref="D88" r:id="rId182" xr:uid="{16B13226-BF64-47C5-9AA5-527E3D4CD880}"/>
    <hyperlink ref="D89" r:id="rId183" xr:uid="{50D8BCBA-CF72-4D11-BDDB-29C5D843F45B}"/>
    <hyperlink ref="D90" r:id="rId184" xr:uid="{AE366088-2D53-44C2-94C2-3D7D8FB63694}"/>
    <hyperlink ref="D91" r:id="rId185" xr:uid="{40647C5E-9263-4714-B4BC-25F2F250B2A4}"/>
    <hyperlink ref="D92" r:id="rId186" xr:uid="{B6EE52D4-0152-4093-9025-450384D9E143}"/>
    <hyperlink ref="D93" r:id="rId187" xr:uid="{42082B86-5C9A-4D80-8972-B0A0A00ED5FF}"/>
    <hyperlink ref="D94" r:id="rId188" xr:uid="{1066C99D-F088-41D5-89DB-4729D0736D1B}"/>
    <hyperlink ref="D95" r:id="rId189" xr:uid="{2C86C869-6870-4906-B07B-EC504A9C977F}"/>
    <hyperlink ref="D96" r:id="rId190" xr:uid="{1EC466C4-2CA0-41D0-9F0C-1C4FACB9F092}"/>
    <hyperlink ref="D97" r:id="rId191" xr:uid="{26863359-3923-42BF-AFEB-4AA19D6FCAC2}"/>
    <hyperlink ref="D98" r:id="rId192" xr:uid="{CEBB8D05-3BBE-4F54-B28C-FFE1244A2321}"/>
    <hyperlink ref="D99" r:id="rId193" xr:uid="{2A201118-2C29-4D65-961E-12B5A40B6740}"/>
    <hyperlink ref="D100" r:id="rId194" xr:uid="{D918665B-7490-4A51-AB39-A9CA0B5B45E7}"/>
    <hyperlink ref="D101" r:id="rId195" xr:uid="{6C92F257-C3AA-4B58-922F-A2A8FD14D562}"/>
    <hyperlink ref="C76" r:id="rId196" xr:uid="{072BF04D-0918-4D3E-A13D-6D400083DFB3}"/>
    <hyperlink ref="C104" r:id="rId197" xr:uid="{5B043D71-1581-42F5-993E-8DA924F6F133}"/>
    <hyperlink ref="C108" r:id="rId198" xr:uid="{E50A9A4A-1EA1-4E4B-B651-A672C80ED045}"/>
    <hyperlink ref="B13" r:id="rId199" display="OFICIOS 2022 ASIGNACIÓN, AUTORIZACIÓN Y CANCELACIÓN\20704000L-TRAPAD-OF-1152-22.pdf" xr:uid="{CF0663DC-99CB-4E7B-9349-878071FFDDF5}"/>
    <hyperlink ref="D16" r:id="rId200" xr:uid="{E77490E4-8DF8-48A7-8E3F-8537A14FA623}"/>
    <hyperlink ref="D17" r:id="rId201" xr:uid="{6E55D4E2-F0A4-4169-8BEF-6851950C3A76}"/>
    <hyperlink ref="D18" r:id="rId202" xr:uid="{2293585D-8660-4D27-8E5F-6DC6D58C984C}"/>
    <hyperlink ref="D19" r:id="rId203" xr:uid="{35DBF0F9-6BCA-4820-95CF-58C0ADDAD4CE}"/>
    <hyperlink ref="C109" r:id="rId204" xr:uid="{DA02E512-F8B8-47FB-ACF7-3BD4ADE015D9}"/>
    <hyperlink ref="C110:C111" r:id="rId205" display="OFICIOS 2022 ASIGNACIÓN, AUTORIZACIÓN Y CANCELACIÓN\20704000L-APAD-1184-22.pdf" xr:uid="{FCD4B5EA-D5E4-4A50-BEEB-3500481E463A}"/>
    <hyperlink ref="C107" r:id="rId206" xr:uid="{12E7EFD6-C62D-45CD-9ECB-2753E1B8E0AF}"/>
    <hyperlink ref="E83" r:id="rId207" display="OFICIOS 2022 ASIGNACIÓN, AUTORIZACIÓN Y CANCELACIÓN\20704000L-APAD-FISE-1216-22.pdf" xr:uid="{8E6528A5-6C08-4DA2-B6A2-A3EA89B950C9}"/>
    <hyperlink ref="D26" r:id="rId208" xr:uid="{6B685E0A-F22A-4C77-90CA-98C833E8ED83}"/>
    <hyperlink ref="D102" r:id="rId209" xr:uid="{420FC32D-430D-43D6-8732-306B47309976}"/>
    <hyperlink ref="D103" r:id="rId210" xr:uid="{BDD02DAB-F006-479C-9A68-9946690A7913}"/>
    <hyperlink ref="B14" r:id="rId211" xr:uid="{08FBA0F5-454B-4708-A8F5-5C322C869C25}"/>
    <hyperlink ref="C14" r:id="rId212" xr:uid="{7A8B537D-E206-42AA-9E5B-01672F2F6BCD}"/>
  </hyperlinks>
  <printOptions horizontalCentered="1"/>
  <pageMargins left="0.23622047244094491" right="0.23622047244094491" top="0.55118110236220474" bottom="0.55118110236220474" header="0.31496062992125984" footer="0.31496062992125984"/>
  <pageSetup scale="29" fitToWidth="0" orientation="landscape" r:id="rId213"/>
  <colBreaks count="1" manualBreakCount="1">
    <brk id="166" max="104"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7C80"/>
  </sheetPr>
  <dimension ref="A1:FH93"/>
  <sheetViews>
    <sheetView zoomScale="80" zoomScaleNormal="80" workbookViewId="0">
      <pane xSplit="6" ySplit="6" topLeftCell="G62" activePane="bottomRight" state="frozen"/>
      <selection activeCell="I18" sqref="I18"/>
      <selection pane="topRight" activeCell="I18" sqref="I18"/>
      <selection pane="bottomLeft" activeCell="I18" sqref="I18"/>
      <selection pane="bottomRight" activeCell="Z67" sqref="Z67"/>
    </sheetView>
  </sheetViews>
  <sheetFormatPr baseColWidth="10" defaultColWidth="11.42578125" defaultRowHeight="15"/>
  <cols>
    <col min="1" max="1" width="9.140625" customWidth="1"/>
    <col min="2" max="2" width="21.42578125" hidden="1" customWidth="1"/>
    <col min="3" max="4" width="12.5703125" hidden="1" customWidth="1"/>
    <col min="5" max="5" width="11.140625" customWidth="1"/>
    <col min="6" max="6" width="49.42578125" customWidth="1"/>
    <col min="7" max="7" width="21.140625" customWidth="1"/>
    <col min="8" max="8" width="26.140625" customWidth="1"/>
    <col min="9" max="9" width="23.42578125" customWidth="1"/>
    <col min="10" max="10" width="13.85546875" customWidth="1"/>
    <col min="11" max="11" width="31" customWidth="1"/>
    <col min="12" max="12" width="31.42578125" hidden="1" customWidth="1"/>
    <col min="13" max="13" width="34.28515625" hidden="1" customWidth="1"/>
    <col min="14" max="14" width="41" hidden="1" customWidth="1"/>
    <col min="15" max="15" width="29" hidden="1" customWidth="1"/>
    <col min="16" max="16" width="28.28515625" customWidth="1"/>
    <col min="17" max="17" width="19" hidden="1" customWidth="1"/>
    <col min="18" max="18" width="12.42578125" hidden="1" customWidth="1"/>
    <col min="19" max="19" width="12.140625" hidden="1" customWidth="1"/>
    <col min="20" max="20" width="12.28515625" hidden="1" customWidth="1"/>
    <col min="21" max="21" width="16" hidden="1" customWidth="1"/>
    <col min="22" max="22" width="16.85546875" hidden="1" customWidth="1"/>
    <col min="23" max="23" width="19.140625" hidden="1" customWidth="1"/>
    <col min="24" max="24" width="19.42578125" customWidth="1"/>
    <col min="25" max="25" width="21.7109375" customWidth="1"/>
    <col min="26" max="26" width="24.85546875" customWidth="1"/>
    <col min="27" max="27" width="23.5703125" customWidth="1"/>
    <col min="28" max="28" width="20.7109375" customWidth="1"/>
    <col min="29" max="29" width="18.5703125" customWidth="1"/>
    <col min="30" max="30" width="17.140625" customWidth="1"/>
    <col min="31" max="31" width="15.7109375" customWidth="1"/>
    <col min="32" max="33" width="16.42578125" customWidth="1"/>
    <col min="34" max="35" width="15.5703125" customWidth="1"/>
    <col min="36" max="36" width="14.5703125" customWidth="1"/>
    <col min="37" max="37" width="20.140625" customWidth="1"/>
    <col min="38" max="39" width="15.85546875" customWidth="1"/>
    <col min="40" max="41" width="16.42578125" customWidth="1"/>
    <col min="42" max="43" width="16.5703125" customWidth="1"/>
    <col min="44" max="45" width="17.85546875" customWidth="1"/>
    <col min="46" max="47" width="15.5703125" customWidth="1"/>
    <col min="48" max="48" width="20.42578125" customWidth="1"/>
    <col min="49" max="49" width="13.5703125" customWidth="1"/>
    <col min="50" max="51" width="16" customWidth="1"/>
    <col min="52" max="52" width="17.28515625" customWidth="1"/>
    <col min="53" max="53" width="13.140625" customWidth="1"/>
    <col min="54" max="54" width="17.5703125" customWidth="1"/>
    <col min="55" max="55" width="15.85546875" customWidth="1"/>
    <col min="56" max="56" width="16.5703125" customWidth="1"/>
    <col min="57" max="57" width="15.42578125" customWidth="1"/>
    <col min="58" max="58" width="15.7109375" customWidth="1"/>
    <col min="59" max="59" width="18.28515625" customWidth="1"/>
    <col min="60" max="60" width="15.28515625" customWidth="1"/>
    <col min="61" max="61" width="15.5703125" customWidth="1"/>
    <col min="62" max="62" width="16.85546875" customWidth="1"/>
    <col min="63" max="63" width="14.42578125" customWidth="1"/>
    <col min="64" max="64" width="15.140625" customWidth="1"/>
    <col min="65" max="65" width="14" customWidth="1"/>
    <col min="66" max="66" width="21.28515625" customWidth="1"/>
    <col min="67" max="68" width="18.28515625" customWidth="1"/>
    <col min="69" max="69" width="23.28515625" customWidth="1"/>
    <col min="70" max="70" width="17.5703125" customWidth="1"/>
    <col min="71" max="72" width="14.7109375" customWidth="1"/>
    <col min="73" max="73" width="11.42578125" customWidth="1"/>
    <col min="74" max="74" width="20.42578125" customWidth="1"/>
    <col min="75" max="75" width="11.42578125" customWidth="1"/>
    <col min="76" max="76" width="20.140625" customWidth="1"/>
    <col min="77" max="77" width="11.42578125" customWidth="1"/>
    <col min="78" max="78" width="19.42578125" customWidth="1"/>
    <col min="79" max="79" width="11.42578125" customWidth="1"/>
    <col min="80" max="80" width="17" customWidth="1"/>
    <col min="81" max="81" width="11.42578125" customWidth="1"/>
    <col min="82" max="82" width="18.42578125" customWidth="1"/>
    <col min="83" max="83" width="14.42578125" customWidth="1"/>
    <col min="84" max="85" width="18.28515625" customWidth="1"/>
    <col min="86" max="89" width="19.140625" customWidth="1"/>
    <col min="90" max="93" width="16.28515625" customWidth="1"/>
    <col min="94" max="97" width="14.85546875" customWidth="1"/>
    <col min="98" max="101" width="15.5703125" customWidth="1"/>
    <col min="102" max="105" width="15.85546875" customWidth="1"/>
    <col min="106" max="134" width="11.42578125" customWidth="1"/>
    <col min="135" max="135" width="11.7109375" customWidth="1"/>
    <col min="136" max="136" width="12" customWidth="1"/>
    <col min="137" max="137" width="11.140625" customWidth="1"/>
    <col min="138" max="138" width="11.7109375" customWidth="1"/>
    <col min="139" max="139" width="10.28515625" customWidth="1"/>
    <col min="140" max="140" width="23.42578125" customWidth="1"/>
    <col min="141" max="141" width="15.7109375" customWidth="1"/>
    <col min="142" max="142" width="23.140625" customWidth="1"/>
    <col min="143" max="143" width="22.42578125" customWidth="1"/>
    <col min="144" max="144" width="23.5703125" customWidth="1"/>
    <col min="145" max="145" width="21.28515625" customWidth="1"/>
    <col min="146" max="146" width="13.42578125" customWidth="1"/>
    <col min="147" max="147" width="17.140625" customWidth="1"/>
    <col min="148" max="148" width="17" customWidth="1"/>
    <col min="149" max="149" width="15.140625" customWidth="1"/>
    <col min="150" max="150" width="24.140625" customWidth="1"/>
    <col min="151" max="151" width="30.140625" customWidth="1"/>
    <col min="152" max="152" width="11.42578125" customWidth="1"/>
    <col min="153" max="153" width="26.28515625" customWidth="1"/>
    <col min="154" max="154" width="24.5703125" customWidth="1"/>
    <col min="155" max="156" width="11.42578125" hidden="1" customWidth="1"/>
    <col min="157" max="157" width="25.42578125" hidden="1" customWidth="1"/>
    <col min="158" max="158" width="12.85546875" customWidth="1"/>
    <col min="159" max="159" width="25.42578125" customWidth="1"/>
    <col min="160" max="160" width="11.42578125" hidden="1" customWidth="1"/>
    <col min="161" max="161" width="22.85546875" customWidth="1"/>
    <col min="162" max="162" width="11.42578125" customWidth="1"/>
    <col min="163" max="163" width="19.85546875" customWidth="1"/>
    <col min="164" max="164" width="54.42578125" customWidth="1"/>
    <col min="165" max="165" width="11.42578125" customWidth="1"/>
  </cols>
  <sheetData>
    <row r="1" spans="1:164" hidden="1"/>
    <row r="2" spans="1:164" hidden="1"/>
    <row r="3" spans="1:164" hidden="1"/>
    <row r="4" spans="1:164" ht="27" hidden="1" customHeight="1">
      <c r="FH4" s="79">
        <f ca="1">TODAY()</f>
        <v>45894</v>
      </c>
    </row>
    <row r="5" spans="1:164" ht="62.25" customHeight="1">
      <c r="A5" s="1" t="s">
        <v>0</v>
      </c>
      <c r="B5" s="1" t="s">
        <v>115</v>
      </c>
      <c r="C5" s="1" t="s">
        <v>116</v>
      </c>
      <c r="D5" s="1" t="s">
        <v>117</v>
      </c>
      <c r="E5" s="1" t="s">
        <v>110</v>
      </c>
      <c r="F5" s="1" t="s">
        <v>111</v>
      </c>
      <c r="G5" s="80" t="s">
        <v>314</v>
      </c>
      <c r="H5" s="81" t="s">
        <v>1</v>
      </c>
      <c r="I5" s="81" t="s">
        <v>2</v>
      </c>
      <c r="J5" s="81" t="s">
        <v>3</v>
      </c>
      <c r="K5" s="81" t="s">
        <v>4</v>
      </c>
      <c r="L5" s="81" t="s">
        <v>5</v>
      </c>
      <c r="M5" s="81" t="s">
        <v>6</v>
      </c>
      <c r="N5" s="81" t="s">
        <v>315</v>
      </c>
      <c r="O5" s="81" t="s">
        <v>316</v>
      </c>
      <c r="P5" s="81" t="s">
        <v>112</v>
      </c>
      <c r="Q5" s="81" t="s">
        <v>54</v>
      </c>
      <c r="R5" s="81" t="s">
        <v>55</v>
      </c>
      <c r="S5" s="81" t="s">
        <v>53</v>
      </c>
      <c r="T5" s="81" t="s">
        <v>52</v>
      </c>
      <c r="U5" s="81" t="s">
        <v>56</v>
      </c>
      <c r="V5" s="81" t="s">
        <v>70</v>
      </c>
      <c r="W5" s="81" t="s">
        <v>7</v>
      </c>
      <c r="X5" s="81" t="s">
        <v>57</v>
      </c>
      <c r="Y5" s="81" t="s">
        <v>8</v>
      </c>
      <c r="Z5" s="81" t="s">
        <v>9</v>
      </c>
      <c r="AA5" s="81" t="s">
        <v>10</v>
      </c>
      <c r="AB5" s="81" t="s">
        <v>11</v>
      </c>
      <c r="AC5" s="81" t="s">
        <v>107</v>
      </c>
      <c r="AD5" s="81" t="s">
        <v>13</v>
      </c>
      <c r="AE5" s="81" t="s">
        <v>64</v>
      </c>
      <c r="AF5" s="81" t="s">
        <v>12</v>
      </c>
      <c r="AG5" s="82" t="s">
        <v>118</v>
      </c>
      <c r="AH5" s="81" t="s">
        <v>14</v>
      </c>
      <c r="AI5" s="81" t="s">
        <v>76</v>
      </c>
      <c r="AJ5" s="81" t="s">
        <v>12</v>
      </c>
      <c r="AK5" s="82" t="s">
        <v>124</v>
      </c>
      <c r="AL5" s="81" t="s">
        <v>15</v>
      </c>
      <c r="AM5" s="81" t="s">
        <v>77</v>
      </c>
      <c r="AN5" s="81" t="s">
        <v>12</v>
      </c>
      <c r="AO5" s="82" t="s">
        <v>123</v>
      </c>
      <c r="AP5" s="81" t="s">
        <v>16</v>
      </c>
      <c r="AQ5" s="81" t="s">
        <v>84</v>
      </c>
      <c r="AR5" s="81" t="s">
        <v>12</v>
      </c>
      <c r="AS5" s="82" t="s">
        <v>122</v>
      </c>
      <c r="AT5" s="81" t="s">
        <v>17</v>
      </c>
      <c r="AU5" s="81" t="s">
        <v>85</v>
      </c>
      <c r="AV5" s="81" t="s">
        <v>12</v>
      </c>
      <c r="AW5" s="82" t="s">
        <v>121</v>
      </c>
      <c r="AX5" s="81" t="s">
        <v>18</v>
      </c>
      <c r="AY5" s="81" t="s">
        <v>86</v>
      </c>
      <c r="AZ5" s="81" t="s">
        <v>12</v>
      </c>
      <c r="BA5" s="82" t="s">
        <v>120</v>
      </c>
      <c r="BB5" s="81" t="s">
        <v>19</v>
      </c>
      <c r="BC5" s="81" t="s">
        <v>87</v>
      </c>
      <c r="BD5" s="81" t="s">
        <v>12</v>
      </c>
      <c r="BE5" s="82" t="s">
        <v>119</v>
      </c>
      <c r="BF5" s="81" t="s">
        <v>20</v>
      </c>
      <c r="BG5" s="81" t="s">
        <v>88</v>
      </c>
      <c r="BH5" s="81" t="s">
        <v>12</v>
      </c>
      <c r="BI5" s="82" t="s">
        <v>125</v>
      </c>
      <c r="BJ5" s="81" t="s">
        <v>21</v>
      </c>
      <c r="BK5" s="81" t="s">
        <v>89</v>
      </c>
      <c r="BL5" s="81" t="s">
        <v>12</v>
      </c>
      <c r="BM5" s="82" t="s">
        <v>126</v>
      </c>
      <c r="BN5" s="81" t="s">
        <v>22</v>
      </c>
      <c r="BO5" s="81" t="s">
        <v>90</v>
      </c>
      <c r="BP5" s="81" t="s">
        <v>12</v>
      </c>
      <c r="BQ5" s="82" t="s">
        <v>127</v>
      </c>
      <c r="BR5" s="81" t="s">
        <v>23</v>
      </c>
      <c r="BS5" s="81" t="s">
        <v>91</v>
      </c>
      <c r="BT5" s="81" t="s">
        <v>12</v>
      </c>
      <c r="BU5" s="82" t="s">
        <v>290</v>
      </c>
      <c r="BV5" s="81" t="s">
        <v>24</v>
      </c>
      <c r="BW5" s="81" t="s">
        <v>92</v>
      </c>
      <c r="BX5" s="81" t="s">
        <v>12</v>
      </c>
      <c r="BY5" s="82" t="s">
        <v>291</v>
      </c>
      <c r="BZ5" s="81" t="s">
        <v>25</v>
      </c>
      <c r="CA5" s="81" t="s">
        <v>93</v>
      </c>
      <c r="CB5" s="81" t="s">
        <v>12</v>
      </c>
      <c r="CC5" s="82" t="s">
        <v>292</v>
      </c>
      <c r="CD5" s="81" t="s">
        <v>26</v>
      </c>
      <c r="CE5" s="81" t="s">
        <v>94</v>
      </c>
      <c r="CF5" s="81" t="s">
        <v>12</v>
      </c>
      <c r="CG5" s="82" t="s">
        <v>293</v>
      </c>
      <c r="CH5" s="81" t="s">
        <v>27</v>
      </c>
      <c r="CI5" s="81" t="s">
        <v>95</v>
      </c>
      <c r="CJ5" s="81" t="s">
        <v>12</v>
      </c>
      <c r="CK5" s="82" t="s">
        <v>294</v>
      </c>
      <c r="CL5" s="81" t="s">
        <v>28</v>
      </c>
      <c r="CM5" s="81" t="s">
        <v>96</v>
      </c>
      <c r="CN5" s="81" t="s">
        <v>12</v>
      </c>
      <c r="CO5" s="82" t="s">
        <v>295</v>
      </c>
      <c r="CP5" s="81" t="s">
        <v>29</v>
      </c>
      <c r="CQ5" s="81" t="s">
        <v>97</v>
      </c>
      <c r="CR5" s="81" t="s">
        <v>12</v>
      </c>
      <c r="CS5" s="82" t="s">
        <v>680</v>
      </c>
      <c r="CT5" s="81" t="s">
        <v>30</v>
      </c>
      <c r="CU5" s="81" t="s">
        <v>98</v>
      </c>
      <c r="CV5" s="81" t="s">
        <v>12</v>
      </c>
      <c r="CW5" s="82" t="s">
        <v>681</v>
      </c>
      <c r="CX5" s="81" t="s">
        <v>31</v>
      </c>
      <c r="CY5" s="81" t="s">
        <v>99</v>
      </c>
      <c r="CZ5" s="81" t="s">
        <v>12</v>
      </c>
      <c r="DA5" s="82" t="s">
        <v>841</v>
      </c>
      <c r="DB5" s="81" t="s">
        <v>32</v>
      </c>
      <c r="DC5" s="81" t="s">
        <v>100</v>
      </c>
      <c r="DD5" s="81" t="s">
        <v>12</v>
      </c>
      <c r="DE5" s="81"/>
      <c r="DF5" s="81" t="s">
        <v>33</v>
      </c>
      <c r="DG5" s="81" t="s">
        <v>101</v>
      </c>
      <c r="DH5" s="81" t="s">
        <v>12</v>
      </c>
      <c r="DI5" s="81" t="s">
        <v>34</v>
      </c>
      <c r="DJ5" s="81" t="s">
        <v>102</v>
      </c>
      <c r="DK5" s="81" t="s">
        <v>12</v>
      </c>
      <c r="DL5" s="81" t="s">
        <v>35</v>
      </c>
      <c r="DM5" s="81" t="s">
        <v>103</v>
      </c>
      <c r="DN5" s="81" t="s">
        <v>12</v>
      </c>
      <c r="DO5" s="81" t="s">
        <v>36</v>
      </c>
      <c r="DP5" s="81" t="s">
        <v>104</v>
      </c>
      <c r="DQ5" s="81" t="s">
        <v>12</v>
      </c>
      <c r="DR5" s="81" t="s">
        <v>37</v>
      </c>
      <c r="DS5" s="81" t="s">
        <v>105</v>
      </c>
      <c r="DT5" s="81" t="s">
        <v>12</v>
      </c>
      <c r="DU5" s="81" t="s">
        <v>38</v>
      </c>
      <c r="DV5" s="81" t="s">
        <v>83</v>
      </c>
      <c r="DW5" s="81" t="s">
        <v>12</v>
      </c>
      <c r="DX5" s="81" t="s">
        <v>39</v>
      </c>
      <c r="DY5" s="81" t="s">
        <v>82</v>
      </c>
      <c r="DZ5" s="81" t="s">
        <v>12</v>
      </c>
      <c r="EA5" s="81" t="s">
        <v>40</v>
      </c>
      <c r="EB5" s="81" t="s">
        <v>80</v>
      </c>
      <c r="EC5" s="81" t="s">
        <v>12</v>
      </c>
      <c r="ED5" s="81" t="s">
        <v>41</v>
      </c>
      <c r="EE5" s="81" t="s">
        <v>81</v>
      </c>
      <c r="EF5" s="81" t="s">
        <v>12</v>
      </c>
      <c r="EG5" s="81" t="s">
        <v>42</v>
      </c>
      <c r="EH5" s="81" t="s">
        <v>79</v>
      </c>
      <c r="EI5" s="81" t="s">
        <v>12</v>
      </c>
      <c r="EJ5" s="83" t="s">
        <v>78</v>
      </c>
      <c r="EK5" s="83" t="s">
        <v>65</v>
      </c>
      <c r="EL5" s="83" t="s">
        <v>106</v>
      </c>
      <c r="EM5" s="81" t="s">
        <v>66</v>
      </c>
      <c r="EN5" s="81" t="s">
        <v>43</v>
      </c>
      <c r="EO5" s="81" t="s">
        <v>58</v>
      </c>
      <c r="EP5" s="81" t="s">
        <v>44</v>
      </c>
      <c r="EQ5" s="81" t="s">
        <v>59</v>
      </c>
      <c r="ER5" s="81" t="s">
        <v>60</v>
      </c>
      <c r="ES5" s="81" t="s">
        <v>75</v>
      </c>
      <c r="ET5" s="81" t="s">
        <v>74</v>
      </c>
      <c r="EU5" s="81" t="s">
        <v>68</v>
      </c>
      <c r="EV5" s="81" t="s">
        <v>61</v>
      </c>
      <c r="EW5" s="81" t="s">
        <v>67</v>
      </c>
      <c r="EX5" s="84" t="s">
        <v>71</v>
      </c>
      <c r="EY5" s="85" t="s">
        <v>62</v>
      </c>
      <c r="EZ5" s="85" t="s">
        <v>109</v>
      </c>
      <c r="FA5" s="81" t="s">
        <v>45</v>
      </c>
      <c r="FB5" s="81" t="s">
        <v>63</v>
      </c>
      <c r="FC5" s="81" t="s">
        <v>46</v>
      </c>
      <c r="FD5" s="81" t="s">
        <v>317</v>
      </c>
      <c r="FE5" s="81" t="s">
        <v>48</v>
      </c>
      <c r="FF5" s="81" t="s">
        <v>49</v>
      </c>
      <c r="FG5" s="81" t="s">
        <v>50</v>
      </c>
      <c r="FH5" s="81" t="s">
        <v>51</v>
      </c>
    </row>
    <row r="6" spans="1:164" ht="30" customHeight="1">
      <c r="A6" s="6">
        <f>SUBTOTAL(3,A7:A63)</f>
        <v>57</v>
      </c>
      <c r="B6" s="6">
        <f>SUBTOTAL(3,B7:B63)</f>
        <v>1</v>
      </c>
      <c r="C6" s="6">
        <f>SUBTOTAL(3,C7:C63)</f>
        <v>0</v>
      </c>
      <c r="D6" s="6">
        <f>SUBTOTAL(3,D7:D63)</f>
        <v>0</v>
      </c>
      <c r="E6" s="6">
        <f>SUBTOTAL(3,E7:E63)</f>
        <v>57</v>
      </c>
      <c r="F6" s="6">
        <f t="shared" ref="F6:AF6" si="0">SUBTOTAL(3,F7:F64)</f>
        <v>58</v>
      </c>
      <c r="G6" s="86">
        <f t="shared" si="0"/>
        <v>58</v>
      </c>
      <c r="H6" s="6">
        <f t="shared" si="0"/>
        <v>58</v>
      </c>
      <c r="I6" s="6">
        <f t="shared" si="0"/>
        <v>58</v>
      </c>
      <c r="J6" s="6">
        <f t="shared" si="0"/>
        <v>58</v>
      </c>
      <c r="K6" s="6">
        <f t="shared" si="0"/>
        <v>58</v>
      </c>
      <c r="L6" s="6">
        <f t="shared" si="0"/>
        <v>8</v>
      </c>
      <c r="M6" s="6">
        <f t="shared" si="0"/>
        <v>8</v>
      </c>
      <c r="N6" s="6">
        <f t="shared" si="0"/>
        <v>8</v>
      </c>
      <c r="O6" s="6">
        <f t="shared" si="0"/>
        <v>8</v>
      </c>
      <c r="P6" s="6">
        <f t="shared" si="0"/>
        <v>58</v>
      </c>
      <c r="Q6" s="6">
        <f t="shared" si="0"/>
        <v>0</v>
      </c>
      <c r="R6" s="6">
        <f t="shared" si="0"/>
        <v>0</v>
      </c>
      <c r="S6" s="6">
        <f t="shared" si="0"/>
        <v>0</v>
      </c>
      <c r="T6" s="6">
        <f t="shared" si="0"/>
        <v>0</v>
      </c>
      <c r="U6" s="6">
        <f t="shared" si="0"/>
        <v>0</v>
      </c>
      <c r="V6" s="6">
        <f t="shared" si="0"/>
        <v>0</v>
      </c>
      <c r="W6" s="6">
        <f t="shared" si="0"/>
        <v>8</v>
      </c>
      <c r="X6" s="6">
        <f t="shared" si="0"/>
        <v>11</v>
      </c>
      <c r="Y6" s="6">
        <f t="shared" si="0"/>
        <v>11</v>
      </c>
      <c r="Z6" s="6">
        <f t="shared" si="0"/>
        <v>11</v>
      </c>
      <c r="AA6" s="6">
        <f t="shared" si="0"/>
        <v>0</v>
      </c>
      <c r="AB6" s="6">
        <f t="shared" si="0"/>
        <v>6</v>
      </c>
      <c r="AC6" s="6">
        <f t="shared" si="0"/>
        <v>5</v>
      </c>
      <c r="AD6" s="6">
        <f t="shared" si="0"/>
        <v>11</v>
      </c>
      <c r="AE6" s="6">
        <f t="shared" si="0"/>
        <v>7</v>
      </c>
      <c r="AF6" s="6">
        <f t="shared" si="0"/>
        <v>5</v>
      </c>
      <c r="AG6" s="6"/>
      <c r="AH6" s="6">
        <f>SUBTOTAL(3,AH7:AH64)</f>
        <v>11</v>
      </c>
      <c r="AI6" s="6">
        <f>SUBTOTAL(3,AI7:AI64)</f>
        <v>7</v>
      </c>
      <c r="AJ6" s="6">
        <f>SUBTOTAL(3,AJ7:AJ64)</f>
        <v>4</v>
      </c>
      <c r="AK6" s="6"/>
      <c r="AL6" s="6">
        <f>SUBTOTAL(3,AL7:AL64)</f>
        <v>9</v>
      </c>
      <c r="AM6" s="6">
        <f>SUBTOTAL(3,AM7:AM64)</f>
        <v>7</v>
      </c>
      <c r="AN6" s="6">
        <f>SUBTOTAL(3,AN7:AN64)</f>
        <v>6</v>
      </c>
      <c r="AO6" s="6"/>
      <c r="AP6" s="6">
        <f>SUBTOTAL(3,AP7:AP64)</f>
        <v>7</v>
      </c>
      <c r="AQ6" s="6">
        <f>SUBTOTAL(3,AQ7:AQ64)</f>
        <v>6</v>
      </c>
      <c r="AR6" s="6">
        <f>SUBTOTAL(3,AR7:AR64)</f>
        <v>6</v>
      </c>
      <c r="AS6" s="6"/>
      <c r="AT6" s="6">
        <f>SUBTOTAL(3,AT7:AT64)</f>
        <v>7</v>
      </c>
      <c r="AU6" s="6">
        <f>SUBTOTAL(3,AU7:AU64)</f>
        <v>6</v>
      </c>
      <c r="AV6" s="6">
        <f>SUBTOTAL(3,AV7:AV64)</f>
        <v>4</v>
      </c>
      <c r="AW6" s="6"/>
      <c r="AX6" s="6">
        <f>SUBTOTAL(3,AX7:AX64)</f>
        <v>6</v>
      </c>
      <c r="AY6" s="6">
        <f>SUBTOTAL(3,AY7:AY64)</f>
        <v>6</v>
      </c>
      <c r="AZ6" s="6">
        <f>SUBTOTAL(3,AZ7:AZ64)</f>
        <v>5</v>
      </c>
      <c r="BA6" s="6"/>
      <c r="BB6" s="6">
        <f>SUBTOTAL(3,BB7:BB64)</f>
        <v>6</v>
      </c>
      <c r="BC6" s="6">
        <f>SUBTOTAL(3,BC7:BC64)</f>
        <v>6</v>
      </c>
      <c r="BD6" s="6">
        <f>SUBTOTAL(3,BD7:BD64)</f>
        <v>6</v>
      </c>
      <c r="BE6" s="6"/>
      <c r="BF6" s="6">
        <f t="shared" ref="BF6:DY6" si="1">SUBTOTAL(3,BF7:BF64)</f>
        <v>5</v>
      </c>
      <c r="BG6" s="6">
        <f t="shared" si="1"/>
        <v>5</v>
      </c>
      <c r="BH6" s="6">
        <f t="shared" si="1"/>
        <v>5</v>
      </c>
      <c r="BI6" s="6"/>
      <c r="BJ6" s="6">
        <f t="shared" si="1"/>
        <v>5</v>
      </c>
      <c r="BK6" s="6">
        <f t="shared" si="1"/>
        <v>5</v>
      </c>
      <c r="BL6" s="6">
        <f t="shared" si="1"/>
        <v>5</v>
      </c>
      <c r="BM6" s="6"/>
      <c r="BN6" s="6">
        <f t="shared" si="1"/>
        <v>4</v>
      </c>
      <c r="BO6" s="6">
        <f t="shared" si="1"/>
        <v>4</v>
      </c>
      <c r="BP6" s="6">
        <f t="shared" si="1"/>
        <v>3</v>
      </c>
      <c r="BQ6" s="6"/>
      <c r="BR6" s="6">
        <f t="shared" si="1"/>
        <v>3</v>
      </c>
      <c r="BS6" s="6">
        <f t="shared" si="1"/>
        <v>3</v>
      </c>
      <c r="BT6" s="6">
        <f t="shared" si="1"/>
        <v>2</v>
      </c>
      <c r="BU6" s="6"/>
      <c r="BV6" s="6">
        <f t="shared" si="1"/>
        <v>1</v>
      </c>
      <c r="BW6" s="6">
        <f t="shared" si="1"/>
        <v>1</v>
      </c>
      <c r="BX6" s="6">
        <f t="shared" si="1"/>
        <v>1</v>
      </c>
      <c r="BY6" s="6"/>
      <c r="BZ6" s="6">
        <f t="shared" si="1"/>
        <v>1</v>
      </c>
      <c r="CA6" s="6">
        <f t="shared" si="1"/>
        <v>1</v>
      </c>
      <c r="CB6" s="6">
        <f t="shared" si="1"/>
        <v>1</v>
      </c>
      <c r="CC6" s="6"/>
      <c r="CD6" s="6">
        <f t="shared" si="1"/>
        <v>1</v>
      </c>
      <c r="CE6" s="6">
        <f t="shared" si="1"/>
        <v>1</v>
      </c>
      <c r="CF6" s="6">
        <f t="shared" si="1"/>
        <v>1</v>
      </c>
      <c r="CG6" s="6"/>
      <c r="CH6" s="6">
        <f t="shared" si="1"/>
        <v>1</v>
      </c>
      <c r="CI6" s="6">
        <f t="shared" si="1"/>
        <v>1</v>
      </c>
      <c r="CJ6" s="6">
        <f t="shared" si="1"/>
        <v>1</v>
      </c>
      <c r="CK6" s="6"/>
      <c r="CL6" s="6">
        <f t="shared" si="1"/>
        <v>1</v>
      </c>
      <c r="CM6" s="6">
        <f t="shared" si="1"/>
        <v>1</v>
      </c>
      <c r="CN6" s="6">
        <f t="shared" si="1"/>
        <v>1</v>
      </c>
      <c r="CO6" s="6"/>
      <c r="CP6" s="6">
        <f t="shared" si="1"/>
        <v>1</v>
      </c>
      <c r="CQ6" s="6">
        <f t="shared" si="1"/>
        <v>1</v>
      </c>
      <c r="CR6" s="6">
        <f t="shared" si="1"/>
        <v>1</v>
      </c>
      <c r="CS6" s="6"/>
      <c r="CT6" s="6">
        <f t="shared" si="1"/>
        <v>1</v>
      </c>
      <c r="CU6" s="6">
        <f t="shared" si="1"/>
        <v>1</v>
      </c>
      <c r="CV6" s="6">
        <f t="shared" si="1"/>
        <v>1</v>
      </c>
      <c r="CW6" s="6"/>
      <c r="CX6" s="6">
        <f t="shared" si="1"/>
        <v>1</v>
      </c>
      <c r="CY6" s="6">
        <f t="shared" si="1"/>
        <v>1</v>
      </c>
      <c r="CZ6" s="6">
        <f t="shared" si="1"/>
        <v>1</v>
      </c>
      <c r="DA6" s="6"/>
      <c r="DB6" s="6">
        <f t="shared" si="1"/>
        <v>1</v>
      </c>
      <c r="DC6" s="6">
        <f t="shared" si="1"/>
        <v>1</v>
      </c>
      <c r="DD6" s="6">
        <f t="shared" si="1"/>
        <v>1</v>
      </c>
      <c r="DE6" s="6"/>
      <c r="DF6" s="6">
        <f t="shared" si="1"/>
        <v>1</v>
      </c>
      <c r="DG6" s="6">
        <f t="shared" si="1"/>
        <v>1</v>
      </c>
      <c r="DH6" s="6">
        <f t="shared" si="1"/>
        <v>1</v>
      </c>
      <c r="DI6" s="6">
        <f t="shared" si="1"/>
        <v>1</v>
      </c>
      <c r="DJ6" s="6">
        <f t="shared" si="1"/>
        <v>0</v>
      </c>
      <c r="DK6" s="6">
        <f t="shared" si="1"/>
        <v>0</v>
      </c>
      <c r="DL6" s="6">
        <f t="shared" si="1"/>
        <v>0</v>
      </c>
      <c r="DM6" s="6">
        <f t="shared" si="1"/>
        <v>0</v>
      </c>
      <c r="DN6" s="6">
        <f t="shared" si="1"/>
        <v>0</v>
      </c>
      <c r="DO6" s="6">
        <f t="shared" si="1"/>
        <v>0</v>
      </c>
      <c r="DP6" s="6">
        <f t="shared" si="1"/>
        <v>0</v>
      </c>
      <c r="DQ6" s="6">
        <f t="shared" si="1"/>
        <v>0</v>
      </c>
      <c r="DR6" s="6">
        <f t="shared" si="1"/>
        <v>0</v>
      </c>
      <c r="DS6" s="6">
        <f t="shared" si="1"/>
        <v>0</v>
      </c>
      <c r="DT6" s="6">
        <f t="shared" si="1"/>
        <v>0</v>
      </c>
      <c r="DU6" s="6">
        <f t="shared" si="1"/>
        <v>0</v>
      </c>
      <c r="DV6" s="6">
        <f t="shared" si="1"/>
        <v>0</v>
      </c>
      <c r="DW6" s="6">
        <f t="shared" si="1"/>
        <v>0</v>
      </c>
      <c r="DX6" s="6">
        <f t="shared" si="1"/>
        <v>0</v>
      </c>
      <c r="DY6" s="6">
        <f t="shared" si="1"/>
        <v>0</v>
      </c>
      <c r="DZ6" s="6">
        <f t="shared" ref="DZ6:FH6" si="2">SUBTOTAL(3,DZ7:DZ64)</f>
        <v>0</v>
      </c>
      <c r="EA6" s="6">
        <f t="shared" si="2"/>
        <v>0</v>
      </c>
      <c r="EB6" s="6">
        <f t="shared" si="2"/>
        <v>0</v>
      </c>
      <c r="EC6" s="6">
        <f t="shared" si="2"/>
        <v>0</v>
      </c>
      <c r="ED6" s="6">
        <f t="shared" si="2"/>
        <v>0</v>
      </c>
      <c r="EE6" s="6">
        <f t="shared" si="2"/>
        <v>0</v>
      </c>
      <c r="EF6" s="6">
        <f t="shared" si="2"/>
        <v>0</v>
      </c>
      <c r="EG6" s="6">
        <f t="shared" si="2"/>
        <v>0</v>
      </c>
      <c r="EH6" s="6">
        <f t="shared" si="2"/>
        <v>0</v>
      </c>
      <c r="EI6" s="6">
        <f t="shared" si="2"/>
        <v>0</v>
      </c>
      <c r="EJ6" s="6">
        <f t="shared" si="2"/>
        <v>0</v>
      </c>
      <c r="EK6" s="6">
        <f t="shared" si="2"/>
        <v>0</v>
      </c>
      <c r="EL6" s="6">
        <f t="shared" si="2"/>
        <v>0</v>
      </c>
      <c r="EM6" s="6">
        <f t="shared" si="2"/>
        <v>0</v>
      </c>
      <c r="EN6" s="6">
        <f t="shared" si="2"/>
        <v>0</v>
      </c>
      <c r="EO6" s="6">
        <f t="shared" si="2"/>
        <v>0</v>
      </c>
      <c r="EP6" s="6">
        <f t="shared" si="2"/>
        <v>0</v>
      </c>
      <c r="EQ6" s="6">
        <f t="shared" si="2"/>
        <v>58</v>
      </c>
      <c r="ER6" s="6">
        <f t="shared" si="2"/>
        <v>58</v>
      </c>
      <c r="ES6" s="6">
        <f t="shared" si="2"/>
        <v>1</v>
      </c>
      <c r="ET6" s="6">
        <f t="shared" si="2"/>
        <v>9</v>
      </c>
      <c r="EU6" s="6">
        <f t="shared" si="2"/>
        <v>9</v>
      </c>
      <c r="EV6" s="6">
        <f t="shared" si="2"/>
        <v>0</v>
      </c>
      <c r="EW6" s="6">
        <f t="shared" si="2"/>
        <v>0</v>
      </c>
      <c r="EX6" s="6">
        <f t="shared" si="2"/>
        <v>58</v>
      </c>
      <c r="EY6" s="6">
        <f t="shared" si="2"/>
        <v>0</v>
      </c>
      <c r="EZ6" s="6">
        <f t="shared" si="2"/>
        <v>0</v>
      </c>
      <c r="FA6" s="6">
        <f t="shared" si="2"/>
        <v>0</v>
      </c>
      <c r="FB6" s="6">
        <f t="shared" si="2"/>
        <v>58</v>
      </c>
      <c r="FC6" s="6">
        <f t="shared" si="2"/>
        <v>58</v>
      </c>
      <c r="FD6" s="6">
        <f t="shared" si="2"/>
        <v>0</v>
      </c>
      <c r="FE6" s="6">
        <f t="shared" si="2"/>
        <v>58</v>
      </c>
      <c r="FF6" s="6">
        <f t="shared" si="2"/>
        <v>58</v>
      </c>
      <c r="FG6" s="6">
        <f t="shared" si="2"/>
        <v>53</v>
      </c>
      <c r="FH6" s="6">
        <f t="shared" si="2"/>
        <v>58</v>
      </c>
    </row>
    <row r="7" spans="1:164" ht="50.1" customHeight="1">
      <c r="A7" s="87">
        <v>1</v>
      </c>
      <c r="B7" s="5"/>
      <c r="C7" s="5"/>
      <c r="D7" s="88"/>
      <c r="E7" s="89">
        <v>69306</v>
      </c>
      <c r="F7" s="90" t="s">
        <v>318</v>
      </c>
      <c r="G7" s="91" t="s">
        <v>319</v>
      </c>
      <c r="H7" s="92">
        <v>1503182.21</v>
      </c>
      <c r="I7" s="92">
        <v>0</v>
      </c>
      <c r="J7" s="90" t="s">
        <v>302</v>
      </c>
      <c r="K7" s="93" t="s">
        <v>320</v>
      </c>
      <c r="L7" s="90"/>
      <c r="M7" s="89"/>
      <c r="N7" s="90"/>
      <c r="O7" s="89"/>
      <c r="P7" s="89" t="s">
        <v>320</v>
      </c>
      <c r="Q7" s="90"/>
      <c r="R7" s="94"/>
      <c r="S7" s="94"/>
      <c r="T7" s="94"/>
      <c r="U7" s="94"/>
      <c r="V7" s="95"/>
      <c r="W7" s="95"/>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c r="DT7" s="96"/>
      <c r="DU7" s="96"/>
      <c r="DV7" s="96"/>
      <c r="DW7" s="96"/>
      <c r="DX7" s="96"/>
      <c r="DY7" s="96"/>
      <c r="DZ7" s="96"/>
      <c r="EA7" s="96"/>
      <c r="EB7" s="96"/>
      <c r="EC7" s="96"/>
      <c r="ED7" s="96"/>
      <c r="EE7" s="96"/>
      <c r="EF7" s="96"/>
      <c r="EG7" s="96"/>
      <c r="EH7" s="96"/>
      <c r="EI7" s="96"/>
      <c r="EJ7" s="97"/>
      <c r="EK7" s="97"/>
      <c r="EL7" s="97"/>
      <c r="EM7" s="96"/>
      <c r="EN7" s="96"/>
      <c r="EO7" s="96"/>
      <c r="EP7" s="96"/>
      <c r="EQ7" s="95" t="s">
        <v>321</v>
      </c>
      <c r="ER7" s="95" t="s">
        <v>321</v>
      </c>
      <c r="ES7" s="90"/>
      <c r="ET7" s="90"/>
      <c r="EU7" s="90"/>
      <c r="EV7" s="90"/>
      <c r="EW7" s="90"/>
      <c r="EX7" s="98">
        <v>96</v>
      </c>
      <c r="EY7" s="99"/>
      <c r="EZ7" s="99"/>
      <c r="FA7" s="100"/>
      <c r="FB7" s="101" t="s">
        <v>322</v>
      </c>
      <c r="FC7" s="89" t="s">
        <v>323</v>
      </c>
      <c r="FD7" s="89"/>
      <c r="FE7" s="89" t="s">
        <v>324</v>
      </c>
      <c r="FF7" s="90" t="s">
        <v>160</v>
      </c>
      <c r="FG7" s="102">
        <v>5320</v>
      </c>
      <c r="FH7" s="103" t="s">
        <v>325</v>
      </c>
    </row>
    <row r="8" spans="1:164" ht="50.1" customHeight="1">
      <c r="A8" s="87">
        <f t="shared" ref="A8:A64" si="3">A7+1</f>
        <v>2</v>
      </c>
      <c r="B8" s="56"/>
      <c r="C8" s="56"/>
      <c r="D8" s="88"/>
      <c r="E8" s="89">
        <v>101482</v>
      </c>
      <c r="F8" s="90" t="s">
        <v>326</v>
      </c>
      <c r="G8" s="91" t="s">
        <v>319</v>
      </c>
      <c r="H8" s="92">
        <v>600000</v>
      </c>
      <c r="I8" s="92">
        <v>0</v>
      </c>
      <c r="J8" s="90" t="s">
        <v>302</v>
      </c>
      <c r="K8" s="93" t="s">
        <v>320</v>
      </c>
      <c r="L8" s="90"/>
      <c r="M8" s="89"/>
      <c r="N8" s="90"/>
      <c r="O8" s="89"/>
      <c r="P8" s="89" t="s">
        <v>320</v>
      </c>
      <c r="Q8" s="90"/>
      <c r="R8" s="94"/>
      <c r="S8" s="94"/>
      <c r="T8" s="94"/>
      <c r="U8" s="94"/>
      <c r="V8" s="95"/>
      <c r="W8" s="95"/>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6"/>
      <c r="BK8" s="96"/>
      <c r="BL8" s="96"/>
      <c r="BM8" s="96"/>
      <c r="BN8" s="96"/>
      <c r="BO8" s="96"/>
      <c r="BP8" s="96"/>
      <c r="BQ8" s="96"/>
      <c r="BR8" s="96"/>
      <c r="BS8" s="96"/>
      <c r="BT8" s="96"/>
      <c r="BU8" s="96"/>
      <c r="BV8" s="96"/>
      <c r="BW8" s="96"/>
      <c r="BX8" s="96"/>
      <c r="BY8" s="96"/>
      <c r="BZ8" s="96"/>
      <c r="CA8" s="96"/>
      <c r="CB8" s="96"/>
      <c r="CC8" s="96"/>
      <c r="CD8" s="96"/>
      <c r="CE8" s="96"/>
      <c r="CF8" s="96"/>
      <c r="CG8" s="96"/>
      <c r="CH8" s="96"/>
      <c r="CI8" s="96"/>
      <c r="CJ8" s="96"/>
      <c r="CK8" s="96"/>
      <c r="CL8" s="96"/>
      <c r="CM8" s="96"/>
      <c r="CN8" s="96"/>
      <c r="CO8" s="96"/>
      <c r="CP8" s="96"/>
      <c r="CQ8" s="96"/>
      <c r="CR8" s="96"/>
      <c r="CS8" s="96"/>
      <c r="CT8" s="96"/>
      <c r="CU8" s="96"/>
      <c r="CV8" s="96"/>
      <c r="CW8" s="96"/>
      <c r="CX8" s="96"/>
      <c r="CY8" s="96"/>
      <c r="CZ8" s="96"/>
      <c r="DA8" s="96"/>
      <c r="DB8" s="96"/>
      <c r="DC8" s="96"/>
      <c r="DD8" s="96"/>
      <c r="DE8" s="96"/>
      <c r="DF8" s="96"/>
      <c r="DG8" s="96"/>
      <c r="DH8" s="96"/>
      <c r="DI8" s="96"/>
      <c r="DJ8" s="96"/>
      <c r="DK8" s="96"/>
      <c r="DL8" s="96"/>
      <c r="DM8" s="96"/>
      <c r="DN8" s="96"/>
      <c r="DO8" s="96"/>
      <c r="DP8" s="96"/>
      <c r="DQ8" s="96"/>
      <c r="DR8" s="96"/>
      <c r="DS8" s="96"/>
      <c r="DT8" s="96"/>
      <c r="DU8" s="96"/>
      <c r="DV8" s="96"/>
      <c r="DW8" s="96"/>
      <c r="DX8" s="96"/>
      <c r="DY8" s="96"/>
      <c r="DZ8" s="96"/>
      <c r="EA8" s="96"/>
      <c r="EB8" s="96"/>
      <c r="EC8" s="96"/>
      <c r="ED8" s="96"/>
      <c r="EE8" s="96"/>
      <c r="EF8" s="96"/>
      <c r="EG8" s="96"/>
      <c r="EH8" s="96"/>
      <c r="EI8" s="96"/>
      <c r="EJ8" s="97"/>
      <c r="EK8" s="97"/>
      <c r="EL8" s="97"/>
      <c r="EM8" s="96"/>
      <c r="EN8" s="96"/>
      <c r="EO8" s="96"/>
      <c r="EP8" s="96"/>
      <c r="EQ8" s="95" t="s">
        <v>321</v>
      </c>
      <c r="ER8" s="95" t="s">
        <v>321</v>
      </c>
      <c r="ES8" s="90"/>
      <c r="ET8" s="90"/>
      <c r="EU8" s="90"/>
      <c r="EV8" s="90"/>
      <c r="EW8" s="90"/>
      <c r="EX8" s="98">
        <v>0</v>
      </c>
      <c r="EY8" s="99"/>
      <c r="EZ8" s="99"/>
      <c r="FA8" s="100"/>
      <c r="FB8" s="101" t="s">
        <v>322</v>
      </c>
      <c r="FC8" s="89" t="s">
        <v>327</v>
      </c>
      <c r="FD8" s="89"/>
      <c r="FE8" s="89" t="s">
        <v>328</v>
      </c>
      <c r="FF8" s="90" t="s">
        <v>146</v>
      </c>
      <c r="FG8" s="102">
        <v>1743</v>
      </c>
      <c r="FH8" s="103" t="s">
        <v>329</v>
      </c>
    </row>
    <row r="9" spans="1:164" ht="50.1" customHeight="1">
      <c r="A9" s="87">
        <f t="shared" si="3"/>
        <v>3</v>
      </c>
      <c r="B9" s="56"/>
      <c r="C9" s="56"/>
      <c r="D9" s="88"/>
      <c r="E9" s="89">
        <v>96421</v>
      </c>
      <c r="F9" s="90" t="s">
        <v>330</v>
      </c>
      <c r="G9" s="91" t="s">
        <v>331</v>
      </c>
      <c r="H9" s="92">
        <v>2500000</v>
      </c>
      <c r="I9" s="92">
        <v>0</v>
      </c>
      <c r="J9" s="90" t="s">
        <v>302</v>
      </c>
      <c r="K9" s="93" t="s">
        <v>320</v>
      </c>
      <c r="L9" s="90"/>
      <c r="M9" s="89"/>
      <c r="N9" s="90"/>
      <c r="O9" s="89"/>
      <c r="P9" s="89" t="s">
        <v>320</v>
      </c>
      <c r="Q9" s="90"/>
      <c r="R9" s="94"/>
      <c r="S9" s="94"/>
      <c r="T9" s="94"/>
      <c r="U9" s="94"/>
      <c r="V9" s="95"/>
      <c r="W9" s="95"/>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c r="DT9" s="96"/>
      <c r="DU9" s="96"/>
      <c r="DV9" s="96"/>
      <c r="DW9" s="96"/>
      <c r="DX9" s="96"/>
      <c r="DY9" s="96"/>
      <c r="DZ9" s="96"/>
      <c r="EA9" s="96"/>
      <c r="EB9" s="96"/>
      <c r="EC9" s="96"/>
      <c r="ED9" s="96"/>
      <c r="EE9" s="96"/>
      <c r="EF9" s="96"/>
      <c r="EG9" s="96"/>
      <c r="EH9" s="96"/>
      <c r="EI9" s="96"/>
      <c r="EJ9" s="97"/>
      <c r="EK9" s="97"/>
      <c r="EL9" s="97"/>
      <c r="EM9" s="96"/>
      <c r="EN9" s="96"/>
      <c r="EO9" s="96"/>
      <c r="EP9" s="96"/>
      <c r="EQ9" s="95" t="s">
        <v>321</v>
      </c>
      <c r="ER9" s="95" t="s">
        <v>321</v>
      </c>
      <c r="ES9" s="90"/>
      <c r="ET9" s="90"/>
      <c r="EU9" s="90"/>
      <c r="EV9" s="90"/>
      <c r="EW9" s="90"/>
      <c r="EX9" s="98">
        <v>0</v>
      </c>
      <c r="EY9" s="99"/>
      <c r="EZ9" s="99"/>
      <c r="FA9" s="100"/>
      <c r="FB9" s="101" t="s">
        <v>322</v>
      </c>
      <c r="FC9" s="89" t="s">
        <v>332</v>
      </c>
      <c r="FD9" s="89"/>
      <c r="FE9" s="89" t="s">
        <v>333</v>
      </c>
      <c r="FF9" s="90" t="s">
        <v>169</v>
      </c>
      <c r="FG9" s="102">
        <v>9365</v>
      </c>
      <c r="FH9" s="103" t="s">
        <v>334</v>
      </c>
    </row>
    <row r="10" spans="1:164" ht="50.1" customHeight="1">
      <c r="A10" s="87">
        <f t="shared" si="3"/>
        <v>4</v>
      </c>
      <c r="B10" s="56"/>
      <c r="C10" s="56"/>
      <c r="D10" s="88"/>
      <c r="E10" s="89">
        <v>101097</v>
      </c>
      <c r="F10" s="90" t="s">
        <v>335</v>
      </c>
      <c r="G10" s="91" t="s">
        <v>331</v>
      </c>
      <c r="H10" s="92">
        <v>1500000</v>
      </c>
      <c r="I10" s="92">
        <v>0</v>
      </c>
      <c r="J10" s="90" t="s">
        <v>302</v>
      </c>
      <c r="K10" s="93" t="s">
        <v>320</v>
      </c>
      <c r="L10" s="90"/>
      <c r="M10" s="89"/>
      <c r="N10" s="90"/>
      <c r="O10" s="89"/>
      <c r="P10" s="89" t="s">
        <v>320</v>
      </c>
      <c r="Q10" s="90"/>
      <c r="R10" s="94"/>
      <c r="S10" s="94"/>
      <c r="T10" s="94"/>
      <c r="U10" s="94"/>
      <c r="V10" s="95"/>
      <c r="W10" s="95"/>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c r="DT10" s="96"/>
      <c r="DU10" s="96"/>
      <c r="DV10" s="96"/>
      <c r="DW10" s="96"/>
      <c r="DX10" s="96"/>
      <c r="DY10" s="96"/>
      <c r="DZ10" s="96"/>
      <c r="EA10" s="96"/>
      <c r="EB10" s="96"/>
      <c r="EC10" s="96"/>
      <c r="ED10" s="96"/>
      <c r="EE10" s="96"/>
      <c r="EF10" s="96"/>
      <c r="EG10" s="96"/>
      <c r="EH10" s="96"/>
      <c r="EI10" s="96"/>
      <c r="EJ10" s="97"/>
      <c r="EK10" s="97"/>
      <c r="EL10" s="97"/>
      <c r="EM10" s="96"/>
      <c r="EN10" s="96"/>
      <c r="EO10" s="96"/>
      <c r="EP10" s="96"/>
      <c r="EQ10" s="95" t="s">
        <v>321</v>
      </c>
      <c r="ER10" s="95" t="s">
        <v>321</v>
      </c>
      <c r="ES10" s="90"/>
      <c r="ET10" s="90"/>
      <c r="EU10" s="90"/>
      <c r="EV10" s="90"/>
      <c r="EW10" s="90"/>
      <c r="EX10" s="98">
        <v>0</v>
      </c>
      <c r="EY10" s="99"/>
      <c r="EZ10" s="99"/>
      <c r="FA10" s="100"/>
      <c r="FB10" s="101" t="s">
        <v>322</v>
      </c>
      <c r="FC10" s="89" t="s">
        <v>332</v>
      </c>
      <c r="FD10" s="89"/>
      <c r="FE10" s="89" t="s">
        <v>333</v>
      </c>
      <c r="FF10" s="90" t="s">
        <v>169</v>
      </c>
      <c r="FG10" s="102">
        <v>1629</v>
      </c>
      <c r="FH10" s="103" t="s">
        <v>336</v>
      </c>
    </row>
    <row r="11" spans="1:164" ht="50.1" customHeight="1">
      <c r="A11" s="87">
        <f t="shared" si="3"/>
        <v>5</v>
      </c>
      <c r="B11" s="56"/>
      <c r="C11" s="56"/>
      <c r="D11" s="88"/>
      <c r="E11" s="89">
        <v>109958</v>
      </c>
      <c r="F11" s="90" t="s">
        <v>337</v>
      </c>
      <c r="G11" s="91" t="s">
        <v>331</v>
      </c>
      <c r="H11" s="92">
        <v>2500000.41</v>
      </c>
      <c r="I11" s="92">
        <v>0</v>
      </c>
      <c r="J11" s="90" t="s">
        <v>302</v>
      </c>
      <c r="K11" s="93" t="s">
        <v>320</v>
      </c>
      <c r="L11" s="90"/>
      <c r="M11" s="89"/>
      <c r="N11" s="90"/>
      <c r="O11" s="89"/>
      <c r="P11" s="89" t="s">
        <v>320</v>
      </c>
      <c r="Q11" s="90"/>
      <c r="R11" s="94"/>
      <c r="S11" s="94"/>
      <c r="T11" s="94"/>
      <c r="U11" s="94"/>
      <c r="V11" s="95"/>
      <c r="W11" s="95"/>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c r="DT11" s="96"/>
      <c r="DU11" s="96"/>
      <c r="DV11" s="96"/>
      <c r="DW11" s="96"/>
      <c r="DX11" s="96"/>
      <c r="DY11" s="96"/>
      <c r="DZ11" s="96"/>
      <c r="EA11" s="96"/>
      <c r="EB11" s="96"/>
      <c r="EC11" s="96"/>
      <c r="ED11" s="96"/>
      <c r="EE11" s="96"/>
      <c r="EF11" s="96"/>
      <c r="EG11" s="96"/>
      <c r="EH11" s="96"/>
      <c r="EI11" s="96"/>
      <c r="EJ11" s="97"/>
      <c r="EK11" s="97"/>
      <c r="EL11" s="97"/>
      <c r="EM11" s="96"/>
      <c r="EN11" s="96"/>
      <c r="EO11" s="96"/>
      <c r="EP11" s="96"/>
      <c r="EQ11" s="95">
        <v>43095</v>
      </c>
      <c r="ER11" s="95">
        <v>43189</v>
      </c>
      <c r="ES11" s="90"/>
      <c r="ET11" s="90"/>
      <c r="EU11" s="90"/>
      <c r="EV11" s="90"/>
      <c r="EW11" s="90"/>
      <c r="EX11" s="98">
        <v>0</v>
      </c>
      <c r="EY11" s="99"/>
      <c r="EZ11" s="99"/>
      <c r="FA11" s="100"/>
      <c r="FB11" s="101" t="s">
        <v>322</v>
      </c>
      <c r="FC11" s="89" t="s">
        <v>338</v>
      </c>
      <c r="FD11" s="89"/>
      <c r="FE11" s="89" t="s">
        <v>339</v>
      </c>
      <c r="FF11" s="90" t="s">
        <v>146</v>
      </c>
      <c r="FG11" s="102">
        <v>5624</v>
      </c>
      <c r="FH11" s="103" t="s">
        <v>340</v>
      </c>
    </row>
    <row r="12" spans="1:164" ht="50.1" customHeight="1">
      <c r="A12" s="87">
        <f t="shared" si="3"/>
        <v>6</v>
      </c>
      <c r="B12" s="56"/>
      <c r="C12" s="56"/>
      <c r="D12" s="88"/>
      <c r="E12" s="89">
        <v>97735</v>
      </c>
      <c r="F12" s="90" t="s">
        <v>341</v>
      </c>
      <c r="G12" s="91" t="s">
        <v>342</v>
      </c>
      <c r="H12" s="92">
        <v>1221760.24</v>
      </c>
      <c r="I12" s="92">
        <v>0</v>
      </c>
      <c r="J12" s="90" t="s">
        <v>239</v>
      </c>
      <c r="K12" s="93" t="s">
        <v>320</v>
      </c>
      <c r="L12" s="90"/>
      <c r="M12" s="89"/>
      <c r="N12" s="90"/>
      <c r="O12" s="89"/>
      <c r="P12" s="89" t="s">
        <v>320</v>
      </c>
      <c r="Q12" s="90"/>
      <c r="R12" s="94"/>
      <c r="S12" s="94"/>
      <c r="T12" s="94"/>
      <c r="U12" s="94"/>
      <c r="V12" s="95"/>
      <c r="W12" s="95"/>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c r="DT12" s="96"/>
      <c r="DU12" s="96"/>
      <c r="DV12" s="96"/>
      <c r="DW12" s="96"/>
      <c r="DX12" s="96"/>
      <c r="DY12" s="96"/>
      <c r="DZ12" s="96"/>
      <c r="EA12" s="96"/>
      <c r="EB12" s="96"/>
      <c r="EC12" s="96"/>
      <c r="ED12" s="96"/>
      <c r="EE12" s="96"/>
      <c r="EF12" s="96"/>
      <c r="EG12" s="96"/>
      <c r="EH12" s="96"/>
      <c r="EI12" s="96"/>
      <c r="EJ12" s="97"/>
      <c r="EK12" s="97"/>
      <c r="EL12" s="97"/>
      <c r="EM12" s="96"/>
      <c r="EN12" s="96"/>
      <c r="EO12" s="96"/>
      <c r="EP12" s="96"/>
      <c r="EQ12" s="95" t="s">
        <v>321</v>
      </c>
      <c r="ER12" s="95" t="s">
        <v>321</v>
      </c>
      <c r="ES12" s="90"/>
      <c r="ET12" s="90"/>
      <c r="EU12" s="90"/>
      <c r="EV12" s="90"/>
      <c r="EW12" s="90"/>
      <c r="EX12" s="98">
        <v>0</v>
      </c>
      <c r="EY12" s="99"/>
      <c r="EZ12" s="99"/>
      <c r="FA12" s="100"/>
      <c r="FB12" s="101" t="s">
        <v>322</v>
      </c>
      <c r="FC12" s="89" t="s">
        <v>323</v>
      </c>
      <c r="FD12" s="89"/>
      <c r="FE12" s="89" t="s">
        <v>324</v>
      </c>
      <c r="FF12" s="90" t="s">
        <v>160</v>
      </c>
      <c r="FG12" s="102">
        <v>3317</v>
      </c>
      <c r="FH12" s="103" t="s">
        <v>343</v>
      </c>
    </row>
    <row r="13" spans="1:164" ht="50.1" customHeight="1">
      <c r="A13" s="87">
        <f t="shared" si="3"/>
        <v>7</v>
      </c>
      <c r="B13" s="56"/>
      <c r="C13" s="56"/>
      <c r="D13" s="88"/>
      <c r="E13" s="89">
        <v>115551</v>
      </c>
      <c r="F13" s="90" t="s">
        <v>344</v>
      </c>
      <c r="G13" s="91" t="s">
        <v>342</v>
      </c>
      <c r="H13" s="92">
        <v>5000000</v>
      </c>
      <c r="I13" s="92">
        <v>0</v>
      </c>
      <c r="J13" s="90" t="s">
        <v>239</v>
      </c>
      <c r="K13" s="93" t="s">
        <v>320</v>
      </c>
      <c r="L13" s="90"/>
      <c r="M13" s="89"/>
      <c r="N13" s="90"/>
      <c r="O13" s="89"/>
      <c r="P13" s="89" t="s">
        <v>320</v>
      </c>
      <c r="Q13" s="90"/>
      <c r="R13" s="94"/>
      <c r="S13" s="94"/>
      <c r="T13" s="94"/>
      <c r="U13" s="94"/>
      <c r="V13" s="95"/>
      <c r="W13" s="95"/>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c r="DT13" s="96"/>
      <c r="DU13" s="96"/>
      <c r="DV13" s="96"/>
      <c r="DW13" s="96"/>
      <c r="DX13" s="96"/>
      <c r="DY13" s="96"/>
      <c r="DZ13" s="96"/>
      <c r="EA13" s="96"/>
      <c r="EB13" s="96"/>
      <c r="EC13" s="96"/>
      <c r="ED13" s="96"/>
      <c r="EE13" s="96"/>
      <c r="EF13" s="96"/>
      <c r="EG13" s="96"/>
      <c r="EH13" s="96"/>
      <c r="EI13" s="96"/>
      <c r="EJ13" s="97"/>
      <c r="EK13" s="97"/>
      <c r="EL13" s="97"/>
      <c r="EM13" s="96"/>
      <c r="EN13" s="96"/>
      <c r="EO13" s="96"/>
      <c r="EP13" s="96"/>
      <c r="EQ13" s="95" t="s">
        <v>321</v>
      </c>
      <c r="ER13" s="95" t="s">
        <v>321</v>
      </c>
      <c r="ES13" s="90"/>
      <c r="ET13" s="90"/>
      <c r="EU13" s="90"/>
      <c r="EV13" s="90"/>
      <c r="EW13" s="90"/>
      <c r="EX13" s="98">
        <v>0</v>
      </c>
      <c r="EY13" s="99"/>
      <c r="EZ13" s="99"/>
      <c r="FA13" s="100"/>
      <c r="FB13" s="101" t="s">
        <v>322</v>
      </c>
      <c r="FC13" s="89" t="s">
        <v>328</v>
      </c>
      <c r="FD13" s="89"/>
      <c r="FE13" s="89" t="s">
        <v>328</v>
      </c>
      <c r="FF13" s="90" t="s">
        <v>160</v>
      </c>
      <c r="FG13" s="102">
        <v>1372</v>
      </c>
      <c r="FH13" s="103" t="s">
        <v>345</v>
      </c>
    </row>
    <row r="14" spans="1:164" ht="50.1" customHeight="1">
      <c r="A14" s="87">
        <f t="shared" si="3"/>
        <v>8</v>
      </c>
      <c r="B14" s="56"/>
      <c r="C14" s="56"/>
      <c r="D14" s="88"/>
      <c r="E14" s="89">
        <v>115553</v>
      </c>
      <c r="F14" s="90" t="s">
        <v>346</v>
      </c>
      <c r="G14" s="91" t="s">
        <v>342</v>
      </c>
      <c r="H14" s="92">
        <v>1800000</v>
      </c>
      <c r="I14" s="92">
        <v>0</v>
      </c>
      <c r="J14" s="90" t="s">
        <v>239</v>
      </c>
      <c r="K14" s="93" t="s">
        <v>320</v>
      </c>
      <c r="L14" s="90"/>
      <c r="M14" s="89"/>
      <c r="N14" s="90"/>
      <c r="O14" s="89"/>
      <c r="P14" s="89" t="s">
        <v>320</v>
      </c>
      <c r="Q14" s="90"/>
      <c r="R14" s="94"/>
      <c r="S14" s="94"/>
      <c r="T14" s="94"/>
      <c r="U14" s="94"/>
      <c r="V14" s="95"/>
      <c r="W14" s="95"/>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c r="DT14" s="96"/>
      <c r="DU14" s="96"/>
      <c r="DV14" s="96"/>
      <c r="DW14" s="96"/>
      <c r="DX14" s="96"/>
      <c r="DY14" s="96"/>
      <c r="DZ14" s="96"/>
      <c r="EA14" s="96"/>
      <c r="EB14" s="96"/>
      <c r="EC14" s="96"/>
      <c r="ED14" s="96"/>
      <c r="EE14" s="96"/>
      <c r="EF14" s="96"/>
      <c r="EG14" s="96"/>
      <c r="EH14" s="96"/>
      <c r="EI14" s="96"/>
      <c r="EJ14" s="97"/>
      <c r="EK14" s="97"/>
      <c r="EL14" s="97"/>
      <c r="EM14" s="96"/>
      <c r="EN14" s="96"/>
      <c r="EO14" s="96"/>
      <c r="EP14" s="96"/>
      <c r="EQ14" s="95" t="s">
        <v>321</v>
      </c>
      <c r="ER14" s="95" t="s">
        <v>321</v>
      </c>
      <c r="ES14" s="90"/>
      <c r="ET14" s="90"/>
      <c r="EU14" s="90"/>
      <c r="EV14" s="90"/>
      <c r="EW14" s="90"/>
      <c r="EX14" s="98">
        <v>0</v>
      </c>
      <c r="EY14" s="99"/>
      <c r="EZ14" s="99"/>
      <c r="FA14" s="100"/>
      <c r="FB14" s="101" t="s">
        <v>322</v>
      </c>
      <c r="FC14" s="89" t="s">
        <v>347</v>
      </c>
      <c r="FD14" s="89"/>
      <c r="FE14" s="89" t="s">
        <v>348</v>
      </c>
      <c r="FF14" s="90" t="s">
        <v>146</v>
      </c>
      <c r="FG14" s="102">
        <v>465</v>
      </c>
      <c r="FH14" s="103" t="s">
        <v>349</v>
      </c>
    </row>
    <row r="15" spans="1:164" ht="115.5" customHeight="1">
      <c r="A15" s="87">
        <f t="shared" si="3"/>
        <v>9</v>
      </c>
      <c r="B15" s="56"/>
      <c r="C15" s="56"/>
      <c r="D15" s="88"/>
      <c r="E15" s="89">
        <v>110372</v>
      </c>
      <c r="F15" s="90" t="s">
        <v>350</v>
      </c>
      <c r="G15" s="91" t="s">
        <v>351</v>
      </c>
      <c r="H15" s="92">
        <v>0</v>
      </c>
      <c r="I15" s="92">
        <v>0</v>
      </c>
      <c r="J15" s="90" t="s">
        <v>296</v>
      </c>
      <c r="K15" s="93" t="s">
        <v>320</v>
      </c>
      <c r="L15" s="90"/>
      <c r="M15" s="89"/>
      <c r="N15" s="90"/>
      <c r="O15" s="89"/>
      <c r="P15" s="89" t="s">
        <v>320</v>
      </c>
      <c r="Q15" s="90"/>
      <c r="R15" s="94"/>
      <c r="S15" s="94"/>
      <c r="T15" s="94"/>
      <c r="U15" s="94"/>
      <c r="V15" s="95"/>
      <c r="W15" s="95"/>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c r="DT15" s="96"/>
      <c r="DU15" s="96"/>
      <c r="DV15" s="96"/>
      <c r="DW15" s="96"/>
      <c r="DX15" s="96"/>
      <c r="DY15" s="96"/>
      <c r="DZ15" s="96"/>
      <c r="EA15" s="96"/>
      <c r="EB15" s="96"/>
      <c r="EC15" s="96"/>
      <c r="ED15" s="96"/>
      <c r="EE15" s="96"/>
      <c r="EF15" s="96"/>
      <c r="EG15" s="96"/>
      <c r="EH15" s="96"/>
      <c r="EI15" s="96"/>
      <c r="EJ15" s="97"/>
      <c r="EK15" s="97"/>
      <c r="EL15" s="97"/>
      <c r="EM15" s="96"/>
      <c r="EN15" s="96"/>
      <c r="EO15" s="96"/>
      <c r="EP15" s="96"/>
      <c r="EQ15" s="95" t="s">
        <v>320</v>
      </c>
      <c r="ER15" s="95" t="s">
        <v>320</v>
      </c>
      <c r="ES15" s="90"/>
      <c r="ET15" s="90"/>
      <c r="EU15" s="90"/>
      <c r="EV15" s="90"/>
      <c r="EW15" s="90"/>
      <c r="EX15" s="98">
        <v>0</v>
      </c>
      <c r="EY15" s="99"/>
      <c r="EZ15" s="99"/>
      <c r="FA15" s="100"/>
      <c r="FB15" s="101" t="s">
        <v>322</v>
      </c>
      <c r="FC15" s="89" t="s">
        <v>352</v>
      </c>
      <c r="FD15" s="89"/>
      <c r="FE15" s="89" t="s">
        <v>333</v>
      </c>
      <c r="FF15" s="90" t="s">
        <v>146</v>
      </c>
      <c r="FG15" s="102">
        <v>1000000</v>
      </c>
      <c r="FH15" s="103" t="s">
        <v>353</v>
      </c>
    </row>
    <row r="16" spans="1:164" ht="50.1" customHeight="1">
      <c r="A16" s="87">
        <f t="shared" si="3"/>
        <v>10</v>
      </c>
      <c r="B16" s="56"/>
      <c r="C16" s="56"/>
      <c r="D16" s="88"/>
      <c r="E16" s="89">
        <v>116991</v>
      </c>
      <c r="F16" s="90" t="s">
        <v>354</v>
      </c>
      <c r="G16" s="91" t="s">
        <v>355</v>
      </c>
      <c r="H16" s="92">
        <v>400000</v>
      </c>
      <c r="I16" s="92">
        <v>0</v>
      </c>
      <c r="J16" s="90" t="s">
        <v>296</v>
      </c>
      <c r="K16" s="93" t="s">
        <v>320</v>
      </c>
      <c r="L16" s="90"/>
      <c r="M16" s="89"/>
      <c r="N16" s="90"/>
      <c r="O16" s="89"/>
      <c r="P16" s="89" t="s">
        <v>320</v>
      </c>
      <c r="Q16" s="90"/>
      <c r="R16" s="94"/>
      <c r="S16" s="94"/>
      <c r="T16" s="94"/>
      <c r="U16" s="94"/>
      <c r="V16" s="95"/>
      <c r="W16" s="95"/>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c r="DT16" s="96"/>
      <c r="DU16" s="96"/>
      <c r="DV16" s="96"/>
      <c r="DW16" s="96"/>
      <c r="DX16" s="96"/>
      <c r="DY16" s="96"/>
      <c r="DZ16" s="96"/>
      <c r="EA16" s="96"/>
      <c r="EB16" s="96"/>
      <c r="EC16" s="96"/>
      <c r="ED16" s="96"/>
      <c r="EE16" s="96"/>
      <c r="EF16" s="96"/>
      <c r="EG16" s="96"/>
      <c r="EH16" s="96"/>
      <c r="EI16" s="96"/>
      <c r="EJ16" s="97"/>
      <c r="EK16" s="97"/>
      <c r="EL16" s="97"/>
      <c r="EM16" s="96"/>
      <c r="EN16" s="96"/>
      <c r="EO16" s="96"/>
      <c r="EP16" s="96"/>
      <c r="EQ16" s="95" t="s">
        <v>321</v>
      </c>
      <c r="ER16" s="95" t="s">
        <v>321</v>
      </c>
      <c r="ES16" s="90"/>
      <c r="ET16" s="90"/>
      <c r="EU16" s="90"/>
      <c r="EV16" s="90"/>
      <c r="EW16" s="90"/>
      <c r="EX16" s="98">
        <v>0</v>
      </c>
      <c r="EY16" s="99"/>
      <c r="EZ16" s="99"/>
      <c r="FA16" s="100"/>
      <c r="FB16" s="101" t="s">
        <v>322</v>
      </c>
      <c r="FC16" s="89" t="s">
        <v>356</v>
      </c>
      <c r="FD16" s="89"/>
      <c r="FE16" s="89" t="s">
        <v>328</v>
      </c>
      <c r="FF16" s="90" t="s">
        <v>146</v>
      </c>
      <c r="FG16" s="102">
        <v>4416</v>
      </c>
      <c r="FH16" s="103" t="s">
        <v>357</v>
      </c>
    </row>
    <row r="17" spans="1:164" ht="50.1" customHeight="1">
      <c r="A17" s="87">
        <f t="shared" si="3"/>
        <v>11</v>
      </c>
      <c r="B17" s="56"/>
      <c r="C17" s="56"/>
      <c r="D17" s="88"/>
      <c r="E17" s="89">
        <v>116996</v>
      </c>
      <c r="F17" s="90" t="s">
        <v>358</v>
      </c>
      <c r="G17" s="91" t="s">
        <v>355</v>
      </c>
      <c r="H17" s="92">
        <v>2500000</v>
      </c>
      <c r="I17" s="92">
        <v>0</v>
      </c>
      <c r="J17" s="90" t="s">
        <v>296</v>
      </c>
      <c r="K17" s="93" t="s">
        <v>320</v>
      </c>
      <c r="L17" s="90"/>
      <c r="M17" s="89"/>
      <c r="N17" s="90"/>
      <c r="O17" s="89"/>
      <c r="P17" s="89" t="s">
        <v>320</v>
      </c>
      <c r="Q17" s="90"/>
      <c r="R17" s="94"/>
      <c r="S17" s="94"/>
      <c r="T17" s="94"/>
      <c r="U17" s="94"/>
      <c r="V17" s="95"/>
      <c r="W17" s="95"/>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c r="DT17" s="96"/>
      <c r="DU17" s="96"/>
      <c r="DV17" s="96"/>
      <c r="DW17" s="96"/>
      <c r="DX17" s="96"/>
      <c r="DY17" s="96"/>
      <c r="DZ17" s="96"/>
      <c r="EA17" s="96"/>
      <c r="EB17" s="96"/>
      <c r="EC17" s="96"/>
      <c r="ED17" s="96"/>
      <c r="EE17" s="96"/>
      <c r="EF17" s="96"/>
      <c r="EG17" s="96"/>
      <c r="EH17" s="96"/>
      <c r="EI17" s="96"/>
      <c r="EJ17" s="97"/>
      <c r="EK17" s="97"/>
      <c r="EL17" s="97"/>
      <c r="EM17" s="96"/>
      <c r="EN17" s="96"/>
      <c r="EO17" s="96"/>
      <c r="EP17" s="96"/>
      <c r="EQ17" s="95" t="s">
        <v>321</v>
      </c>
      <c r="ER17" s="95" t="s">
        <v>321</v>
      </c>
      <c r="ES17" s="90"/>
      <c r="ET17" s="90"/>
      <c r="EU17" s="90"/>
      <c r="EV17" s="90"/>
      <c r="EW17" s="90"/>
      <c r="EX17" s="98">
        <v>0</v>
      </c>
      <c r="EY17" s="99"/>
      <c r="EZ17" s="99"/>
      <c r="FA17" s="100"/>
      <c r="FB17" s="101" t="s">
        <v>322</v>
      </c>
      <c r="FC17" s="89" t="s">
        <v>359</v>
      </c>
      <c r="FD17" s="89"/>
      <c r="FE17" s="89" t="s">
        <v>360</v>
      </c>
      <c r="FF17" s="90" t="s">
        <v>169</v>
      </c>
      <c r="FG17" s="102"/>
      <c r="FH17" s="103" t="s">
        <v>361</v>
      </c>
    </row>
    <row r="18" spans="1:164" ht="50.1" customHeight="1">
      <c r="A18" s="87">
        <f t="shared" si="3"/>
        <v>12</v>
      </c>
      <c r="B18" s="56"/>
      <c r="C18" s="56"/>
      <c r="D18" s="88"/>
      <c r="E18" s="89">
        <v>116997</v>
      </c>
      <c r="F18" s="90" t="s">
        <v>362</v>
      </c>
      <c r="G18" s="91" t="s">
        <v>355</v>
      </c>
      <c r="H18" s="92">
        <v>350000</v>
      </c>
      <c r="I18" s="92">
        <v>0</v>
      </c>
      <c r="J18" s="90" t="s">
        <v>296</v>
      </c>
      <c r="K18" s="93" t="s">
        <v>320</v>
      </c>
      <c r="L18" s="90"/>
      <c r="M18" s="89"/>
      <c r="N18" s="90"/>
      <c r="O18" s="89"/>
      <c r="P18" s="89" t="s">
        <v>320</v>
      </c>
      <c r="Q18" s="90"/>
      <c r="R18" s="94"/>
      <c r="S18" s="94"/>
      <c r="T18" s="94"/>
      <c r="U18" s="94"/>
      <c r="V18" s="95"/>
      <c r="W18" s="95"/>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c r="DT18" s="96"/>
      <c r="DU18" s="96"/>
      <c r="DV18" s="96"/>
      <c r="DW18" s="96"/>
      <c r="DX18" s="96"/>
      <c r="DY18" s="96"/>
      <c r="DZ18" s="96"/>
      <c r="EA18" s="96"/>
      <c r="EB18" s="96"/>
      <c r="EC18" s="96"/>
      <c r="ED18" s="96"/>
      <c r="EE18" s="96"/>
      <c r="EF18" s="96"/>
      <c r="EG18" s="96"/>
      <c r="EH18" s="96"/>
      <c r="EI18" s="96"/>
      <c r="EJ18" s="97"/>
      <c r="EK18" s="97"/>
      <c r="EL18" s="97"/>
      <c r="EM18" s="96"/>
      <c r="EN18" s="96"/>
      <c r="EO18" s="96"/>
      <c r="EP18" s="96"/>
      <c r="EQ18" s="95" t="s">
        <v>321</v>
      </c>
      <c r="ER18" s="95" t="s">
        <v>321</v>
      </c>
      <c r="ES18" s="90"/>
      <c r="ET18" s="90"/>
      <c r="EU18" s="90"/>
      <c r="EV18" s="90"/>
      <c r="EW18" s="90"/>
      <c r="EX18" s="98">
        <v>0</v>
      </c>
      <c r="EY18" s="99"/>
      <c r="EZ18" s="99"/>
      <c r="FA18" s="100"/>
      <c r="FB18" s="101" t="s">
        <v>322</v>
      </c>
      <c r="FC18" s="89" t="s">
        <v>363</v>
      </c>
      <c r="FD18" s="89"/>
      <c r="FE18" s="89" t="s">
        <v>364</v>
      </c>
      <c r="FF18" s="90" t="s">
        <v>146</v>
      </c>
      <c r="FG18" s="102">
        <v>1196</v>
      </c>
      <c r="FH18" s="103" t="s">
        <v>365</v>
      </c>
    </row>
    <row r="19" spans="1:164" ht="50.1" customHeight="1">
      <c r="A19" s="87">
        <f t="shared" si="3"/>
        <v>13</v>
      </c>
      <c r="B19" s="56"/>
      <c r="C19" s="56"/>
      <c r="D19" s="88"/>
      <c r="E19" s="89">
        <v>117158</v>
      </c>
      <c r="F19" s="90" t="s">
        <v>366</v>
      </c>
      <c r="G19" s="91" t="s">
        <v>367</v>
      </c>
      <c r="H19" s="92">
        <v>6200000</v>
      </c>
      <c r="I19" s="92">
        <v>0</v>
      </c>
      <c r="J19" s="90" t="s">
        <v>296</v>
      </c>
      <c r="K19" s="93" t="s">
        <v>320</v>
      </c>
      <c r="L19" s="90"/>
      <c r="M19" s="89"/>
      <c r="N19" s="90"/>
      <c r="O19" s="89"/>
      <c r="P19" s="89" t="s">
        <v>320</v>
      </c>
      <c r="Q19" s="90"/>
      <c r="R19" s="94"/>
      <c r="S19" s="94"/>
      <c r="T19" s="94"/>
      <c r="U19" s="94"/>
      <c r="V19" s="95"/>
      <c r="W19" s="95"/>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c r="BM19" s="96"/>
      <c r="BN19" s="96"/>
      <c r="BO19" s="96"/>
      <c r="BP19" s="96"/>
      <c r="BQ19" s="96"/>
      <c r="BR19" s="96"/>
      <c r="BS19" s="96"/>
      <c r="BT19" s="96"/>
      <c r="BU19" s="96"/>
      <c r="BV19" s="96"/>
      <c r="BW19" s="96"/>
      <c r="BX19" s="96"/>
      <c r="BY19" s="96"/>
      <c r="BZ19" s="96"/>
      <c r="CA19" s="96"/>
      <c r="CB19" s="96"/>
      <c r="CC19" s="96"/>
      <c r="CD19" s="96"/>
      <c r="CE19" s="96"/>
      <c r="CF19" s="96"/>
      <c r="CG19" s="96"/>
      <c r="CH19" s="96"/>
      <c r="CI19" s="96"/>
      <c r="CJ19" s="96"/>
      <c r="CK19" s="96"/>
      <c r="CL19" s="96"/>
      <c r="CM19" s="96"/>
      <c r="CN19" s="96"/>
      <c r="CO19" s="96"/>
      <c r="CP19" s="96"/>
      <c r="CQ19" s="96"/>
      <c r="CR19" s="96"/>
      <c r="CS19" s="96"/>
      <c r="CT19" s="96"/>
      <c r="CU19" s="96"/>
      <c r="CV19" s="96"/>
      <c r="CW19" s="96"/>
      <c r="CX19" s="96"/>
      <c r="CY19" s="96"/>
      <c r="CZ19" s="96"/>
      <c r="DA19" s="96"/>
      <c r="DB19" s="96"/>
      <c r="DC19" s="96"/>
      <c r="DD19" s="96"/>
      <c r="DE19" s="96"/>
      <c r="DF19" s="96"/>
      <c r="DG19" s="96"/>
      <c r="DH19" s="96"/>
      <c r="DI19" s="96"/>
      <c r="DJ19" s="96"/>
      <c r="DK19" s="96"/>
      <c r="DL19" s="96"/>
      <c r="DM19" s="96"/>
      <c r="DN19" s="96"/>
      <c r="DO19" s="96"/>
      <c r="DP19" s="96"/>
      <c r="DQ19" s="96"/>
      <c r="DR19" s="96"/>
      <c r="DS19" s="96"/>
      <c r="DT19" s="96"/>
      <c r="DU19" s="96"/>
      <c r="DV19" s="96"/>
      <c r="DW19" s="96"/>
      <c r="DX19" s="96"/>
      <c r="DY19" s="96"/>
      <c r="DZ19" s="96"/>
      <c r="EA19" s="96"/>
      <c r="EB19" s="96"/>
      <c r="EC19" s="96"/>
      <c r="ED19" s="96"/>
      <c r="EE19" s="96"/>
      <c r="EF19" s="96"/>
      <c r="EG19" s="96"/>
      <c r="EH19" s="96"/>
      <c r="EI19" s="96"/>
      <c r="EJ19" s="97"/>
      <c r="EK19" s="97"/>
      <c r="EL19" s="97"/>
      <c r="EM19" s="96"/>
      <c r="EN19" s="96"/>
      <c r="EO19" s="96"/>
      <c r="EP19" s="96"/>
      <c r="EQ19" s="95" t="s">
        <v>321</v>
      </c>
      <c r="ER19" s="95" t="s">
        <v>321</v>
      </c>
      <c r="ES19" s="90"/>
      <c r="ET19" s="90"/>
      <c r="EU19" s="90"/>
      <c r="EV19" s="90"/>
      <c r="EW19" s="90"/>
      <c r="EX19" s="98">
        <v>0</v>
      </c>
      <c r="EY19" s="99"/>
      <c r="EZ19" s="99"/>
      <c r="FA19" s="100"/>
      <c r="FB19" s="101" t="s">
        <v>322</v>
      </c>
      <c r="FC19" s="89" t="s">
        <v>368</v>
      </c>
      <c r="FD19" s="89"/>
      <c r="FE19" s="89" t="s">
        <v>333</v>
      </c>
      <c r="FF19" s="90" t="s">
        <v>160</v>
      </c>
      <c r="FG19" s="102" t="s">
        <v>369</v>
      </c>
      <c r="FH19" s="103" t="s">
        <v>370</v>
      </c>
    </row>
    <row r="20" spans="1:164" ht="50.1" customHeight="1">
      <c r="A20" s="87">
        <f t="shared" si="3"/>
        <v>14</v>
      </c>
      <c r="B20" s="56"/>
      <c r="C20" s="56"/>
      <c r="D20" s="88"/>
      <c r="E20" s="89">
        <v>117941</v>
      </c>
      <c r="F20" s="90" t="s">
        <v>371</v>
      </c>
      <c r="G20" s="91" t="s">
        <v>372</v>
      </c>
      <c r="H20" s="92">
        <v>6000000</v>
      </c>
      <c r="I20" s="92">
        <v>0</v>
      </c>
      <c r="J20" s="90" t="s">
        <v>296</v>
      </c>
      <c r="K20" s="93" t="s">
        <v>320</v>
      </c>
      <c r="L20" s="90"/>
      <c r="M20" s="89"/>
      <c r="N20" s="90"/>
      <c r="O20" s="89"/>
      <c r="P20" s="89" t="s">
        <v>320</v>
      </c>
      <c r="Q20" s="90"/>
      <c r="R20" s="94"/>
      <c r="S20" s="94"/>
      <c r="T20" s="94"/>
      <c r="U20" s="94"/>
      <c r="V20" s="95"/>
      <c r="W20" s="95"/>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c r="DT20" s="96"/>
      <c r="DU20" s="96"/>
      <c r="DV20" s="96"/>
      <c r="DW20" s="96"/>
      <c r="DX20" s="96"/>
      <c r="DY20" s="96"/>
      <c r="DZ20" s="96"/>
      <c r="EA20" s="96"/>
      <c r="EB20" s="96"/>
      <c r="EC20" s="96"/>
      <c r="ED20" s="96"/>
      <c r="EE20" s="96"/>
      <c r="EF20" s="96"/>
      <c r="EG20" s="96"/>
      <c r="EH20" s="96"/>
      <c r="EI20" s="96"/>
      <c r="EJ20" s="97"/>
      <c r="EK20" s="97"/>
      <c r="EL20" s="97"/>
      <c r="EM20" s="96"/>
      <c r="EN20" s="96"/>
      <c r="EO20" s="96"/>
      <c r="EP20" s="96"/>
      <c r="EQ20" s="95" t="s">
        <v>321</v>
      </c>
      <c r="ER20" s="95" t="s">
        <v>321</v>
      </c>
      <c r="ES20" s="90"/>
      <c r="ET20" s="90"/>
      <c r="EU20" s="90"/>
      <c r="EV20" s="90"/>
      <c r="EW20" s="90"/>
      <c r="EX20" s="98">
        <v>0</v>
      </c>
      <c r="EY20" s="99"/>
      <c r="EZ20" s="99"/>
      <c r="FA20" s="100"/>
      <c r="FB20" s="101" t="s">
        <v>322</v>
      </c>
      <c r="FC20" s="89" t="s">
        <v>356</v>
      </c>
      <c r="FD20" s="89"/>
      <c r="FE20" s="89" t="s">
        <v>328</v>
      </c>
      <c r="FF20" s="90" t="s">
        <v>148</v>
      </c>
      <c r="FG20" s="102"/>
      <c r="FH20" s="103" t="s">
        <v>365</v>
      </c>
    </row>
    <row r="21" spans="1:164" ht="50.1" customHeight="1">
      <c r="A21" s="87">
        <f t="shared" si="3"/>
        <v>15</v>
      </c>
      <c r="B21" s="56"/>
      <c r="C21" s="56"/>
      <c r="D21" s="88"/>
      <c r="E21" s="89">
        <v>117944</v>
      </c>
      <c r="F21" s="90" t="s">
        <v>373</v>
      </c>
      <c r="G21" s="91" t="s">
        <v>372</v>
      </c>
      <c r="H21" s="92">
        <v>12000000</v>
      </c>
      <c r="I21" s="92">
        <v>0</v>
      </c>
      <c r="J21" s="90" t="s">
        <v>296</v>
      </c>
      <c r="K21" s="93" t="s">
        <v>320</v>
      </c>
      <c r="L21" s="90"/>
      <c r="M21" s="89"/>
      <c r="N21" s="90"/>
      <c r="O21" s="89"/>
      <c r="P21" s="89" t="s">
        <v>320</v>
      </c>
      <c r="Q21" s="90"/>
      <c r="R21" s="94"/>
      <c r="S21" s="94"/>
      <c r="T21" s="94"/>
      <c r="U21" s="94"/>
      <c r="V21" s="95"/>
      <c r="W21" s="95"/>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c r="DT21" s="96"/>
      <c r="DU21" s="96"/>
      <c r="DV21" s="96"/>
      <c r="DW21" s="96"/>
      <c r="DX21" s="96"/>
      <c r="DY21" s="96"/>
      <c r="DZ21" s="96"/>
      <c r="EA21" s="96"/>
      <c r="EB21" s="96"/>
      <c r="EC21" s="96"/>
      <c r="ED21" s="96"/>
      <c r="EE21" s="96"/>
      <c r="EF21" s="96"/>
      <c r="EG21" s="96"/>
      <c r="EH21" s="96"/>
      <c r="EI21" s="96"/>
      <c r="EJ21" s="97"/>
      <c r="EK21" s="97"/>
      <c r="EL21" s="97"/>
      <c r="EM21" s="96"/>
      <c r="EN21" s="96"/>
      <c r="EO21" s="96"/>
      <c r="EP21" s="96"/>
      <c r="EQ21" s="95" t="s">
        <v>321</v>
      </c>
      <c r="ER21" s="95" t="s">
        <v>321</v>
      </c>
      <c r="ES21" s="90"/>
      <c r="ET21" s="90"/>
      <c r="EU21" s="90"/>
      <c r="EV21" s="90"/>
      <c r="EW21" s="90"/>
      <c r="EX21" s="98">
        <v>0</v>
      </c>
      <c r="EY21" s="99"/>
      <c r="EZ21" s="99"/>
      <c r="FA21" s="100"/>
      <c r="FB21" s="101" t="s">
        <v>322</v>
      </c>
      <c r="FC21" s="89" t="s">
        <v>374</v>
      </c>
      <c r="FD21" s="89"/>
      <c r="FE21" s="89" t="s">
        <v>375</v>
      </c>
      <c r="FF21" s="90" t="s">
        <v>169</v>
      </c>
      <c r="FG21" s="102"/>
      <c r="FH21" s="103" t="s">
        <v>376</v>
      </c>
    </row>
    <row r="22" spans="1:164" ht="50.1" customHeight="1">
      <c r="A22" s="87">
        <f t="shared" si="3"/>
        <v>16</v>
      </c>
      <c r="B22" s="56"/>
      <c r="C22" s="56"/>
      <c r="D22" s="88"/>
      <c r="E22" s="89">
        <v>117945</v>
      </c>
      <c r="F22" s="90" t="s">
        <v>377</v>
      </c>
      <c r="G22" s="91" t="s">
        <v>372</v>
      </c>
      <c r="H22" s="92">
        <v>4000000</v>
      </c>
      <c r="I22" s="92">
        <v>0</v>
      </c>
      <c r="J22" s="90" t="s">
        <v>296</v>
      </c>
      <c r="K22" s="93" t="s">
        <v>320</v>
      </c>
      <c r="L22" s="90"/>
      <c r="M22" s="89"/>
      <c r="N22" s="90"/>
      <c r="O22" s="89"/>
      <c r="P22" s="89" t="s">
        <v>320</v>
      </c>
      <c r="Q22" s="90"/>
      <c r="R22" s="94"/>
      <c r="S22" s="94"/>
      <c r="T22" s="94"/>
      <c r="U22" s="94"/>
      <c r="V22" s="95"/>
      <c r="W22" s="95"/>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c r="DT22" s="96"/>
      <c r="DU22" s="96"/>
      <c r="DV22" s="96"/>
      <c r="DW22" s="96"/>
      <c r="DX22" s="96"/>
      <c r="DY22" s="96"/>
      <c r="DZ22" s="96"/>
      <c r="EA22" s="96"/>
      <c r="EB22" s="96"/>
      <c r="EC22" s="96"/>
      <c r="ED22" s="96"/>
      <c r="EE22" s="96"/>
      <c r="EF22" s="96"/>
      <c r="EG22" s="96"/>
      <c r="EH22" s="96"/>
      <c r="EI22" s="96"/>
      <c r="EJ22" s="97"/>
      <c r="EK22" s="97"/>
      <c r="EL22" s="97"/>
      <c r="EM22" s="96"/>
      <c r="EN22" s="96"/>
      <c r="EO22" s="96"/>
      <c r="EP22" s="96"/>
      <c r="EQ22" s="95" t="s">
        <v>321</v>
      </c>
      <c r="ER22" s="95" t="s">
        <v>321</v>
      </c>
      <c r="ES22" s="90"/>
      <c r="ET22" s="90"/>
      <c r="EU22" s="90"/>
      <c r="EV22" s="90"/>
      <c r="EW22" s="90"/>
      <c r="EX22" s="98">
        <v>0</v>
      </c>
      <c r="EY22" s="99"/>
      <c r="EZ22" s="99"/>
      <c r="FA22" s="100"/>
      <c r="FB22" s="101" t="s">
        <v>322</v>
      </c>
      <c r="FC22" s="89" t="s">
        <v>378</v>
      </c>
      <c r="FD22" s="89"/>
      <c r="FE22" s="89" t="s">
        <v>328</v>
      </c>
      <c r="FF22" s="90" t="s">
        <v>148</v>
      </c>
      <c r="FG22" s="102"/>
      <c r="FH22" s="103" t="s">
        <v>379</v>
      </c>
    </row>
    <row r="23" spans="1:164" ht="50.1" customHeight="1">
      <c r="A23" s="87">
        <f t="shared" si="3"/>
        <v>17</v>
      </c>
      <c r="B23" s="56"/>
      <c r="C23" s="56"/>
      <c r="D23" s="88"/>
      <c r="E23" s="89">
        <v>117946</v>
      </c>
      <c r="F23" s="90" t="s">
        <v>380</v>
      </c>
      <c r="G23" s="91" t="s">
        <v>372</v>
      </c>
      <c r="H23" s="92">
        <v>2500000</v>
      </c>
      <c r="I23" s="92">
        <v>0</v>
      </c>
      <c r="J23" s="90" t="s">
        <v>296</v>
      </c>
      <c r="K23" s="93" t="s">
        <v>320</v>
      </c>
      <c r="L23" s="90"/>
      <c r="M23" s="89"/>
      <c r="N23" s="90"/>
      <c r="O23" s="89"/>
      <c r="P23" s="89" t="s">
        <v>320</v>
      </c>
      <c r="Q23" s="90"/>
      <c r="R23" s="94"/>
      <c r="S23" s="94"/>
      <c r="T23" s="94"/>
      <c r="U23" s="94"/>
      <c r="V23" s="95"/>
      <c r="W23" s="95"/>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c r="DT23" s="96"/>
      <c r="DU23" s="96"/>
      <c r="DV23" s="96"/>
      <c r="DW23" s="96"/>
      <c r="DX23" s="96"/>
      <c r="DY23" s="96"/>
      <c r="DZ23" s="96"/>
      <c r="EA23" s="96"/>
      <c r="EB23" s="96"/>
      <c r="EC23" s="96"/>
      <c r="ED23" s="96"/>
      <c r="EE23" s="96"/>
      <c r="EF23" s="96"/>
      <c r="EG23" s="96"/>
      <c r="EH23" s="96"/>
      <c r="EI23" s="96"/>
      <c r="EJ23" s="97"/>
      <c r="EK23" s="97"/>
      <c r="EL23" s="97"/>
      <c r="EM23" s="96"/>
      <c r="EN23" s="96"/>
      <c r="EO23" s="96"/>
      <c r="EP23" s="96"/>
      <c r="EQ23" s="95" t="s">
        <v>321</v>
      </c>
      <c r="ER23" s="95" t="s">
        <v>321</v>
      </c>
      <c r="ES23" s="90"/>
      <c r="ET23" s="90"/>
      <c r="EU23" s="90"/>
      <c r="EV23" s="90"/>
      <c r="EW23" s="90"/>
      <c r="EX23" s="98">
        <v>0</v>
      </c>
      <c r="EY23" s="99"/>
      <c r="EZ23" s="99"/>
      <c r="FA23" s="100"/>
      <c r="FB23" s="101" t="s">
        <v>322</v>
      </c>
      <c r="FC23" s="89" t="s">
        <v>381</v>
      </c>
      <c r="FD23" s="89"/>
      <c r="FE23" s="89" t="s">
        <v>328</v>
      </c>
      <c r="FF23" s="90" t="s">
        <v>146</v>
      </c>
      <c r="FG23" s="102"/>
      <c r="FH23" s="103" t="s">
        <v>382</v>
      </c>
    </row>
    <row r="24" spans="1:164" ht="50.1" customHeight="1">
      <c r="A24" s="87" t="e">
        <f>#REF!+1</f>
        <v>#REF!</v>
      </c>
      <c r="B24" s="56"/>
      <c r="C24" s="56"/>
      <c r="D24" s="88"/>
      <c r="E24" s="89">
        <v>96478</v>
      </c>
      <c r="F24" s="90" t="s">
        <v>383</v>
      </c>
      <c r="G24" s="91" t="s">
        <v>384</v>
      </c>
      <c r="H24" s="92">
        <v>10929454.899999999</v>
      </c>
      <c r="I24" s="92">
        <v>10929454.899999999</v>
      </c>
      <c r="J24" s="90" t="s">
        <v>385</v>
      </c>
      <c r="K24" s="93" t="s">
        <v>386</v>
      </c>
      <c r="L24" s="90"/>
      <c r="M24" s="89"/>
      <c r="N24" s="90"/>
      <c r="O24" s="89"/>
      <c r="P24" s="104" t="s">
        <v>387</v>
      </c>
      <c r="Q24" s="90"/>
      <c r="R24" s="94"/>
      <c r="S24" s="94"/>
      <c r="T24" s="94"/>
      <c r="U24" s="94"/>
      <c r="V24" s="95"/>
      <c r="W24" s="95"/>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c r="DT24" s="96"/>
      <c r="DU24" s="96"/>
      <c r="DV24" s="96"/>
      <c r="DW24" s="96"/>
      <c r="DX24" s="96"/>
      <c r="DY24" s="96"/>
      <c r="DZ24" s="96"/>
      <c r="EA24" s="96"/>
      <c r="EB24" s="96"/>
      <c r="EC24" s="96"/>
      <c r="ED24" s="96"/>
      <c r="EE24" s="96"/>
      <c r="EF24" s="96"/>
      <c r="EG24" s="96"/>
      <c r="EH24" s="96"/>
      <c r="EI24" s="96"/>
      <c r="EJ24" s="97"/>
      <c r="EK24" s="97"/>
      <c r="EL24" s="97"/>
      <c r="EM24" s="96"/>
      <c r="EN24" s="96"/>
      <c r="EO24" s="96"/>
      <c r="EP24" s="96"/>
      <c r="EQ24" s="95">
        <v>42079</v>
      </c>
      <c r="ER24" s="95">
        <v>42318</v>
      </c>
      <c r="ES24" s="90"/>
      <c r="ET24" s="90"/>
      <c r="EU24" s="90"/>
      <c r="EV24" s="90"/>
      <c r="EW24" s="90"/>
      <c r="EX24" s="98">
        <v>98</v>
      </c>
      <c r="EY24" s="99"/>
      <c r="EZ24" s="99"/>
      <c r="FA24" s="100"/>
      <c r="FB24" s="101" t="s">
        <v>388</v>
      </c>
      <c r="FC24" s="89" t="s">
        <v>368</v>
      </c>
      <c r="FD24" s="89"/>
      <c r="FE24" s="89" t="s">
        <v>333</v>
      </c>
      <c r="FF24" s="90" t="s">
        <v>160</v>
      </c>
      <c r="FG24" s="102">
        <v>22521</v>
      </c>
      <c r="FH24" s="103" t="s">
        <v>389</v>
      </c>
    </row>
    <row r="25" spans="1:164" ht="80.25" customHeight="1">
      <c r="A25" s="87" t="e">
        <f>#REF!+1</f>
        <v>#REF!</v>
      </c>
      <c r="B25" s="56"/>
      <c r="C25" s="56"/>
      <c r="D25" s="88"/>
      <c r="E25" s="89">
        <v>113754</v>
      </c>
      <c r="F25" s="90" t="s">
        <v>390</v>
      </c>
      <c r="G25" s="91" t="s">
        <v>391</v>
      </c>
      <c r="H25" s="92">
        <v>2500000</v>
      </c>
      <c r="I25" s="92">
        <v>2499932.2200000002</v>
      </c>
      <c r="J25" s="90" t="s">
        <v>302</v>
      </c>
      <c r="K25" s="93" t="s">
        <v>392</v>
      </c>
      <c r="L25" s="90"/>
      <c r="M25" s="89"/>
      <c r="N25" s="90"/>
      <c r="O25" s="89"/>
      <c r="P25" s="105" t="s">
        <v>393</v>
      </c>
      <c r="Q25" s="90"/>
      <c r="R25" s="94"/>
      <c r="S25" s="94"/>
      <c r="T25" s="94"/>
      <c r="U25" s="94"/>
      <c r="V25" s="95"/>
      <c r="W25" s="95"/>
      <c r="X25" s="96">
        <v>2155113.9827586212</v>
      </c>
      <c r="Y25" s="96">
        <f>X25*1.16</f>
        <v>2499932.2200000007</v>
      </c>
      <c r="Z25" s="96">
        <v>2499932.2200000002</v>
      </c>
      <c r="AA25" s="96"/>
      <c r="AB25" s="96"/>
      <c r="AC25" s="96"/>
      <c r="AD25" s="96">
        <v>977828.53</v>
      </c>
      <c r="AE25" s="96"/>
      <c r="AF25" s="96"/>
      <c r="AG25" s="106">
        <v>44077</v>
      </c>
      <c r="AH25" s="96">
        <v>681140.18</v>
      </c>
      <c r="AI25" s="96"/>
      <c r="AJ25" s="96"/>
      <c r="AK25" s="106">
        <v>44182</v>
      </c>
      <c r="AL25" s="96">
        <v>805908.07</v>
      </c>
      <c r="AM25" s="96">
        <v>0</v>
      </c>
      <c r="AN25" s="96">
        <v>805908.07</v>
      </c>
      <c r="AO25" s="96" t="s">
        <v>305</v>
      </c>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c r="DT25" s="96"/>
      <c r="DU25" s="96"/>
      <c r="DV25" s="96"/>
      <c r="DW25" s="96"/>
      <c r="DX25" s="96"/>
      <c r="DY25" s="96"/>
      <c r="DZ25" s="96"/>
      <c r="EA25" s="96"/>
      <c r="EB25" s="96"/>
      <c r="EC25" s="96"/>
      <c r="ED25" s="96"/>
      <c r="EE25" s="96"/>
      <c r="EF25" s="96"/>
      <c r="EG25" s="96"/>
      <c r="EH25" s="96"/>
      <c r="EI25" s="96"/>
      <c r="EJ25" s="97"/>
      <c r="EK25" s="97"/>
      <c r="EL25" s="97"/>
      <c r="EM25" s="96"/>
      <c r="EN25" s="96"/>
      <c r="EO25" s="96"/>
      <c r="EP25" s="96"/>
      <c r="EQ25" s="95">
        <v>43986</v>
      </c>
      <c r="ER25" s="95">
        <v>44135</v>
      </c>
      <c r="ES25" s="90"/>
      <c r="ET25" s="89" t="s">
        <v>394</v>
      </c>
      <c r="EU25" s="90"/>
      <c r="EV25" s="90"/>
      <c r="EW25" s="90"/>
      <c r="EX25" s="98">
        <v>100</v>
      </c>
      <c r="EY25" s="99"/>
      <c r="EZ25" s="99"/>
      <c r="FA25" s="100"/>
      <c r="FB25" s="101" t="s">
        <v>147</v>
      </c>
      <c r="FC25" s="89" t="s">
        <v>395</v>
      </c>
      <c r="FD25" s="87"/>
      <c r="FE25" s="87" t="s">
        <v>348</v>
      </c>
      <c r="FF25" s="107" t="s">
        <v>146</v>
      </c>
      <c r="FG25" s="108">
        <v>1909</v>
      </c>
      <c r="FH25" s="109" t="s">
        <v>691</v>
      </c>
    </row>
    <row r="26" spans="1:164" ht="138.75" customHeight="1">
      <c r="A26" s="87" t="e">
        <f t="shared" si="3"/>
        <v>#REF!</v>
      </c>
      <c r="B26" s="56"/>
      <c r="C26" s="56"/>
      <c r="D26" s="88"/>
      <c r="E26" s="89">
        <v>114327</v>
      </c>
      <c r="F26" s="90" t="s">
        <v>396</v>
      </c>
      <c r="G26" s="91" t="s">
        <v>397</v>
      </c>
      <c r="H26" s="92">
        <v>1200000</v>
      </c>
      <c r="I26" s="92">
        <v>1199862.96</v>
      </c>
      <c r="J26" s="90" t="s">
        <v>239</v>
      </c>
      <c r="K26" s="93" t="s">
        <v>386</v>
      </c>
      <c r="L26" s="90"/>
      <c r="M26" s="89"/>
      <c r="N26" s="90"/>
      <c r="O26" s="89"/>
      <c r="P26" s="104" t="s">
        <v>398</v>
      </c>
      <c r="Q26" s="90"/>
      <c r="R26" s="94"/>
      <c r="S26" s="94"/>
      <c r="T26" s="94"/>
      <c r="U26" s="94"/>
      <c r="V26" s="95"/>
      <c r="W26" s="95"/>
      <c r="X26" s="96">
        <v>1034364.6206896552</v>
      </c>
      <c r="Y26" s="96">
        <f>X26*1.16</f>
        <v>1199862.96</v>
      </c>
      <c r="Z26" s="96">
        <v>1199862.96</v>
      </c>
      <c r="AA26" s="96"/>
      <c r="AB26" s="96"/>
      <c r="AC26" s="96"/>
      <c r="AD26" s="96">
        <v>418091.49</v>
      </c>
      <c r="AE26" s="96"/>
      <c r="AF26" s="96"/>
      <c r="AG26" s="110">
        <v>44307</v>
      </c>
      <c r="AH26" s="96">
        <v>781608.42</v>
      </c>
      <c r="AI26" s="96"/>
      <c r="AJ26" s="96"/>
      <c r="AK26" s="110" t="s">
        <v>399</v>
      </c>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c r="DT26" s="96"/>
      <c r="DU26" s="96"/>
      <c r="DV26" s="96"/>
      <c r="DW26" s="96"/>
      <c r="DX26" s="96"/>
      <c r="DY26" s="96"/>
      <c r="DZ26" s="96"/>
      <c r="EA26" s="96"/>
      <c r="EB26" s="96"/>
      <c r="EC26" s="96"/>
      <c r="ED26" s="96"/>
      <c r="EE26" s="96"/>
      <c r="EF26" s="96"/>
      <c r="EG26" s="96"/>
      <c r="EH26" s="96"/>
      <c r="EI26" s="96"/>
      <c r="EJ26" s="97"/>
      <c r="EK26" s="97"/>
      <c r="EL26" s="97"/>
      <c r="EM26" s="96"/>
      <c r="EN26" s="96"/>
      <c r="EO26" s="96"/>
      <c r="EP26" s="96"/>
      <c r="EQ26" s="95">
        <v>43934</v>
      </c>
      <c r="ER26" s="95">
        <v>44113</v>
      </c>
      <c r="ES26" s="90"/>
      <c r="ET26" s="89" t="s">
        <v>400</v>
      </c>
      <c r="EU26" s="89" t="s">
        <v>401</v>
      </c>
      <c r="EV26" s="90"/>
      <c r="EW26" s="90"/>
      <c r="EX26" s="209">
        <v>100</v>
      </c>
      <c r="EY26" s="99"/>
      <c r="EZ26" s="99"/>
      <c r="FA26" s="100"/>
      <c r="FB26" s="210" t="s">
        <v>147</v>
      </c>
      <c r="FC26" s="89" t="s">
        <v>395</v>
      </c>
      <c r="FD26" s="87"/>
      <c r="FE26" s="87" t="s">
        <v>348</v>
      </c>
      <c r="FF26" s="107" t="s">
        <v>160</v>
      </c>
      <c r="FG26" s="108">
        <v>2516</v>
      </c>
      <c r="FH26" s="111" t="s">
        <v>402</v>
      </c>
    </row>
    <row r="27" spans="1:164" ht="50.1" customHeight="1">
      <c r="A27" s="87" t="e">
        <f t="shared" si="3"/>
        <v>#REF!</v>
      </c>
      <c r="B27" s="56"/>
      <c r="C27" s="56"/>
      <c r="D27" s="88"/>
      <c r="E27" s="89">
        <v>109594</v>
      </c>
      <c r="F27" s="90" t="s">
        <v>403</v>
      </c>
      <c r="G27" s="91" t="s">
        <v>404</v>
      </c>
      <c r="H27" s="92">
        <v>156882521.75</v>
      </c>
      <c r="I27" s="92">
        <v>156882521.75</v>
      </c>
      <c r="J27" s="90" t="s">
        <v>239</v>
      </c>
      <c r="K27" s="93" t="s">
        <v>405</v>
      </c>
      <c r="L27" s="90"/>
      <c r="M27" s="89"/>
      <c r="N27" s="90"/>
      <c r="O27" s="89"/>
      <c r="P27" s="105" t="s">
        <v>406</v>
      </c>
      <c r="Q27" s="90"/>
      <c r="R27" s="94"/>
      <c r="S27" s="94"/>
      <c r="T27" s="94"/>
      <c r="U27" s="94"/>
      <c r="V27" s="95"/>
      <c r="W27" s="95"/>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c r="DT27" s="96"/>
      <c r="DU27" s="96"/>
      <c r="DV27" s="96"/>
      <c r="DW27" s="96"/>
      <c r="DX27" s="96"/>
      <c r="DY27" s="96"/>
      <c r="DZ27" s="96"/>
      <c r="EA27" s="96"/>
      <c r="EB27" s="96"/>
      <c r="EC27" s="96"/>
      <c r="ED27" s="96"/>
      <c r="EE27" s="96"/>
      <c r="EF27" s="96"/>
      <c r="EG27" s="96"/>
      <c r="EH27" s="96"/>
      <c r="EI27" s="96"/>
      <c r="EJ27" s="97"/>
      <c r="EK27" s="97"/>
      <c r="EL27" s="97"/>
      <c r="EM27" s="96"/>
      <c r="EN27" s="96"/>
      <c r="EO27" s="96"/>
      <c r="EP27" s="96"/>
      <c r="EQ27" s="95">
        <v>43679</v>
      </c>
      <c r="ER27" s="95">
        <v>43762</v>
      </c>
      <c r="ES27" s="90"/>
      <c r="ET27" s="90"/>
      <c r="EU27" s="90"/>
      <c r="EV27" s="90"/>
      <c r="EW27" s="90"/>
      <c r="EX27" s="98">
        <v>83.5</v>
      </c>
      <c r="EY27" s="99"/>
      <c r="EZ27" s="99"/>
      <c r="FA27" s="100"/>
      <c r="FB27" s="101" t="s">
        <v>407</v>
      </c>
      <c r="FC27" s="89" t="s">
        <v>408</v>
      </c>
      <c r="FD27" s="87"/>
      <c r="FE27" s="87" t="s">
        <v>339</v>
      </c>
      <c r="FF27" s="107" t="s">
        <v>146</v>
      </c>
      <c r="FG27" s="108">
        <v>5199483</v>
      </c>
      <c r="FH27" s="109" t="s">
        <v>409</v>
      </c>
    </row>
    <row r="28" spans="1:164" ht="50.1" customHeight="1">
      <c r="A28" s="87" t="e">
        <f t="shared" si="3"/>
        <v>#REF!</v>
      </c>
      <c r="B28" s="56"/>
      <c r="C28" s="56"/>
      <c r="D28" s="88"/>
      <c r="E28" s="89">
        <v>109958</v>
      </c>
      <c r="F28" s="90" t="s">
        <v>410</v>
      </c>
      <c r="G28" s="91" t="s">
        <v>411</v>
      </c>
      <c r="H28" s="92">
        <v>5500000</v>
      </c>
      <c r="I28" s="92">
        <v>5500000</v>
      </c>
      <c r="J28" s="90" t="s">
        <v>239</v>
      </c>
      <c r="K28" s="93" t="s">
        <v>412</v>
      </c>
      <c r="L28" s="90"/>
      <c r="M28" s="89"/>
      <c r="N28" s="90"/>
      <c r="O28" s="89"/>
      <c r="P28" s="105" t="s">
        <v>413</v>
      </c>
      <c r="Q28" s="90"/>
      <c r="R28" s="94"/>
      <c r="S28" s="94"/>
      <c r="T28" s="94"/>
      <c r="U28" s="94"/>
      <c r="V28" s="95"/>
      <c r="W28" s="95"/>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c r="DT28" s="96"/>
      <c r="DU28" s="96"/>
      <c r="DV28" s="96"/>
      <c r="DW28" s="96"/>
      <c r="DX28" s="96"/>
      <c r="DY28" s="96"/>
      <c r="DZ28" s="96"/>
      <c r="EA28" s="96"/>
      <c r="EB28" s="96"/>
      <c r="EC28" s="96"/>
      <c r="ED28" s="96"/>
      <c r="EE28" s="96"/>
      <c r="EF28" s="96"/>
      <c r="EG28" s="96"/>
      <c r="EH28" s="96"/>
      <c r="EI28" s="96"/>
      <c r="EJ28" s="97"/>
      <c r="EK28" s="97"/>
      <c r="EL28" s="97"/>
      <c r="EM28" s="96"/>
      <c r="EN28" s="96"/>
      <c r="EO28" s="96"/>
      <c r="EP28" s="96"/>
      <c r="EQ28" s="95" t="s">
        <v>414</v>
      </c>
      <c r="ER28" s="95" t="s">
        <v>415</v>
      </c>
      <c r="ES28" s="90"/>
      <c r="ET28" s="90"/>
      <c r="EU28" s="90"/>
      <c r="EV28" s="90"/>
      <c r="EW28" s="90"/>
      <c r="EX28" s="98">
        <v>98</v>
      </c>
      <c r="EY28" s="99"/>
      <c r="EZ28" s="99"/>
      <c r="FA28" s="100"/>
      <c r="FB28" s="101" t="s">
        <v>388</v>
      </c>
      <c r="FC28" s="89" t="s">
        <v>338</v>
      </c>
      <c r="FD28" s="87"/>
      <c r="FE28" s="87" t="s">
        <v>339</v>
      </c>
      <c r="FF28" s="107" t="s">
        <v>146</v>
      </c>
      <c r="FG28" s="108">
        <v>5624</v>
      </c>
      <c r="FH28" s="109" t="s">
        <v>416</v>
      </c>
    </row>
    <row r="29" spans="1:164" ht="50.1" customHeight="1">
      <c r="A29" s="87" t="e">
        <f t="shared" si="3"/>
        <v>#REF!</v>
      </c>
      <c r="B29" s="56"/>
      <c r="C29" s="56"/>
      <c r="D29" s="88"/>
      <c r="E29" s="89">
        <v>111615</v>
      </c>
      <c r="F29" s="90" t="s">
        <v>417</v>
      </c>
      <c r="G29" s="91" t="s">
        <v>418</v>
      </c>
      <c r="H29" s="92">
        <v>3500000</v>
      </c>
      <c r="I29" s="92">
        <v>3423134.18</v>
      </c>
      <c r="J29" s="90" t="s">
        <v>239</v>
      </c>
      <c r="K29" s="93" t="s">
        <v>419</v>
      </c>
      <c r="L29" s="90"/>
      <c r="M29" s="89"/>
      <c r="N29" s="90"/>
      <c r="O29" s="89"/>
      <c r="P29" s="104" t="s">
        <v>420</v>
      </c>
      <c r="Q29" s="90"/>
      <c r="R29" s="94"/>
      <c r="S29" s="94"/>
      <c r="T29" s="94"/>
      <c r="U29" s="94"/>
      <c r="V29" s="95"/>
      <c r="W29" s="95"/>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c r="DT29" s="96"/>
      <c r="DU29" s="96"/>
      <c r="DV29" s="96"/>
      <c r="DW29" s="96"/>
      <c r="DX29" s="96"/>
      <c r="DY29" s="96"/>
      <c r="DZ29" s="96"/>
      <c r="EA29" s="96"/>
      <c r="EB29" s="96"/>
      <c r="EC29" s="96"/>
      <c r="ED29" s="96"/>
      <c r="EE29" s="96"/>
      <c r="EF29" s="96"/>
      <c r="EG29" s="96"/>
      <c r="EH29" s="96"/>
      <c r="EI29" s="96"/>
      <c r="EJ29" s="97"/>
      <c r="EK29" s="97"/>
      <c r="EL29" s="97"/>
      <c r="EM29" s="96"/>
      <c r="EN29" s="96"/>
      <c r="EO29" s="96"/>
      <c r="EP29" s="96"/>
      <c r="EQ29" s="95">
        <v>44018</v>
      </c>
      <c r="ER29" s="95">
        <v>44137</v>
      </c>
      <c r="ES29" s="90"/>
      <c r="ET29" s="90"/>
      <c r="EU29" s="90"/>
      <c r="EV29" s="90"/>
      <c r="EW29" s="90"/>
      <c r="EX29" s="384">
        <v>55</v>
      </c>
      <c r="EY29" s="99"/>
      <c r="EZ29" s="99"/>
      <c r="FA29" s="100"/>
      <c r="FB29" s="101" t="s">
        <v>149</v>
      </c>
      <c r="FC29" s="89" t="s">
        <v>421</v>
      </c>
      <c r="FD29" s="87"/>
      <c r="FE29" s="87" t="s">
        <v>364</v>
      </c>
      <c r="FF29" s="107" t="s">
        <v>146</v>
      </c>
      <c r="FG29" s="108">
        <v>2788</v>
      </c>
      <c r="FH29" s="109" t="s">
        <v>422</v>
      </c>
    </row>
    <row r="30" spans="1:164" ht="129.75" customHeight="1">
      <c r="A30" s="87" t="e">
        <f t="shared" si="3"/>
        <v>#REF!</v>
      </c>
      <c r="B30" s="56"/>
      <c r="C30" s="56"/>
      <c r="D30" s="88"/>
      <c r="E30" s="89">
        <v>115545</v>
      </c>
      <c r="F30" s="90" t="s">
        <v>423</v>
      </c>
      <c r="G30" s="91" t="s">
        <v>424</v>
      </c>
      <c r="H30" s="92">
        <v>7100000</v>
      </c>
      <c r="I30" s="92">
        <v>6388762.3200000003</v>
      </c>
      <c r="J30" s="90" t="s">
        <v>239</v>
      </c>
      <c r="K30" s="93" t="s">
        <v>425</v>
      </c>
      <c r="L30" s="89" t="s">
        <v>426</v>
      </c>
      <c r="M30" s="89" t="s">
        <v>427</v>
      </c>
      <c r="N30" s="90" t="s">
        <v>428</v>
      </c>
      <c r="O30" s="89">
        <v>7222094276</v>
      </c>
      <c r="P30" s="104" t="s">
        <v>429</v>
      </c>
      <c r="Q30" s="90"/>
      <c r="R30" s="94"/>
      <c r="S30" s="94"/>
      <c r="T30" s="94"/>
      <c r="U30" s="94"/>
      <c r="V30" s="95"/>
      <c r="W30" s="95">
        <v>43990</v>
      </c>
      <c r="X30" s="96">
        <v>5507553.7199999997</v>
      </c>
      <c r="Y30" s="96">
        <f t="shared" ref="Y30:Y36" si="4">X30*1.16</f>
        <v>6388762.3151999991</v>
      </c>
      <c r="Z30" s="96">
        <v>6388762.3200000003</v>
      </c>
      <c r="AA30" s="96"/>
      <c r="AB30" s="96">
        <v>1916628.7</v>
      </c>
      <c r="AC30" s="96">
        <v>1916628.696</v>
      </c>
      <c r="AD30" s="96">
        <v>1796562.78</v>
      </c>
      <c r="AE30" s="96">
        <v>538968.82999999996</v>
      </c>
      <c r="AF30" s="96">
        <v>1203387.3143965516</v>
      </c>
      <c r="AG30" s="112">
        <v>44085</v>
      </c>
      <c r="AH30" s="96">
        <v>919067.72</v>
      </c>
      <c r="AI30" s="96">
        <v>275720.32000000001</v>
      </c>
      <c r="AJ30" s="96">
        <v>615616.90844827588</v>
      </c>
      <c r="AK30" s="112">
        <v>44524</v>
      </c>
      <c r="AL30" s="96">
        <v>1087069.5</v>
      </c>
      <c r="AM30" s="96">
        <v>326120.84999999998</v>
      </c>
      <c r="AN30" s="96">
        <v>728149.13922413788</v>
      </c>
      <c r="AO30" s="112">
        <v>44391</v>
      </c>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c r="DT30" s="96"/>
      <c r="DU30" s="96"/>
      <c r="DV30" s="96"/>
      <c r="DW30" s="96"/>
      <c r="DX30" s="96"/>
      <c r="DY30" s="96"/>
      <c r="DZ30" s="96"/>
      <c r="EA30" s="96"/>
      <c r="EB30" s="96"/>
      <c r="EC30" s="96"/>
      <c r="ED30" s="96"/>
      <c r="EE30" s="96"/>
      <c r="EF30" s="96"/>
      <c r="EG30" s="96"/>
      <c r="EH30" s="96"/>
      <c r="EI30" s="96"/>
      <c r="EJ30" s="97"/>
      <c r="EK30" s="97"/>
      <c r="EL30" s="97"/>
      <c r="EM30" s="96"/>
      <c r="EN30" s="96"/>
      <c r="EO30" s="96"/>
      <c r="EP30" s="96"/>
      <c r="EQ30" s="95">
        <v>43997</v>
      </c>
      <c r="ER30" s="95">
        <v>44146</v>
      </c>
      <c r="ES30" s="90"/>
      <c r="ET30" s="89" t="s">
        <v>430</v>
      </c>
      <c r="EU30" s="89" t="s">
        <v>431</v>
      </c>
      <c r="EV30" s="90"/>
      <c r="EW30" s="90"/>
      <c r="EX30" s="98">
        <v>100</v>
      </c>
      <c r="EY30" s="99"/>
      <c r="EZ30" s="99"/>
      <c r="FA30" s="100"/>
      <c r="FB30" s="101" t="s">
        <v>147</v>
      </c>
      <c r="FC30" s="89" t="s">
        <v>359</v>
      </c>
      <c r="FD30" s="87"/>
      <c r="FE30" s="87" t="s">
        <v>360</v>
      </c>
      <c r="FF30" s="107" t="s">
        <v>146</v>
      </c>
      <c r="FG30" s="108">
        <v>5000</v>
      </c>
      <c r="FH30" s="113" t="s">
        <v>748</v>
      </c>
    </row>
    <row r="31" spans="1:164" ht="96" customHeight="1">
      <c r="A31" s="87" t="e">
        <f t="shared" si="3"/>
        <v>#REF!</v>
      </c>
      <c r="B31" s="56" t="s">
        <v>432</v>
      </c>
      <c r="C31" s="56"/>
      <c r="D31" s="88"/>
      <c r="E31" s="89">
        <v>117154</v>
      </c>
      <c r="F31" s="90" t="s">
        <v>433</v>
      </c>
      <c r="G31" s="91" t="s">
        <v>434</v>
      </c>
      <c r="H31" s="92">
        <f>32000000+7000000</f>
        <v>39000000</v>
      </c>
      <c r="I31" s="92">
        <v>30987478.48</v>
      </c>
      <c r="J31" s="90" t="s">
        <v>296</v>
      </c>
      <c r="K31" s="93" t="s">
        <v>435</v>
      </c>
      <c r="L31" s="90" t="s">
        <v>436</v>
      </c>
      <c r="M31" s="89" t="s">
        <v>299</v>
      </c>
      <c r="N31" s="90" t="s">
        <v>437</v>
      </c>
      <c r="O31" s="89">
        <v>5555251810</v>
      </c>
      <c r="P31" s="104" t="s">
        <v>438</v>
      </c>
      <c r="Q31" s="90"/>
      <c r="R31" s="94"/>
      <c r="S31" s="94"/>
      <c r="T31" s="94"/>
      <c r="U31" s="94"/>
      <c r="V31" s="95"/>
      <c r="W31" s="95">
        <v>44174</v>
      </c>
      <c r="X31" s="96">
        <v>26713343.52</v>
      </c>
      <c r="Y31" s="96">
        <f t="shared" si="4"/>
        <v>30987478.483199999</v>
      </c>
      <c r="Z31" s="96">
        <v>30987478.48</v>
      </c>
      <c r="AA31" s="96"/>
      <c r="AB31" s="96">
        <v>9296243.5399999991</v>
      </c>
      <c r="AC31" s="96">
        <v>9296243.5439999998</v>
      </c>
      <c r="AD31" s="96">
        <v>1853022.4</v>
      </c>
      <c r="AE31" s="96">
        <v>555906.72</v>
      </c>
      <c r="AF31" s="96">
        <v>1241205.5213793102</v>
      </c>
      <c r="AG31" s="112">
        <v>44307</v>
      </c>
      <c r="AH31" s="96">
        <v>10108353.52</v>
      </c>
      <c r="AI31" s="96">
        <v>3032506.06</v>
      </c>
      <c r="AJ31" s="96">
        <v>6770854.0348275863</v>
      </c>
      <c r="AK31" s="112">
        <v>44307</v>
      </c>
      <c r="AL31" s="96">
        <v>7380375.3099999996</v>
      </c>
      <c r="AM31" s="96">
        <v>2214112.59</v>
      </c>
      <c r="AN31" s="96">
        <v>4943578.9821982756</v>
      </c>
      <c r="AO31" s="112">
        <v>44295</v>
      </c>
      <c r="AP31" s="96">
        <v>4745436.2</v>
      </c>
      <c r="AQ31" s="96">
        <v>1423630.86</v>
      </c>
      <c r="AR31" s="96">
        <v>3178624.0753448275</v>
      </c>
      <c r="AS31" s="112">
        <v>44398</v>
      </c>
      <c r="AT31" s="96">
        <v>2153013.21</v>
      </c>
      <c r="AU31" s="96">
        <v>645903.96</v>
      </c>
      <c r="AV31" s="96">
        <v>1442147.6445258621</v>
      </c>
      <c r="AW31" s="112">
        <v>44425</v>
      </c>
      <c r="AX31" s="96">
        <v>1046512.99</v>
      </c>
      <c r="AY31" s="96">
        <v>313953.90000000002</v>
      </c>
      <c r="AZ31" s="96">
        <v>700983.26702586201</v>
      </c>
      <c r="BA31" s="112">
        <v>44461</v>
      </c>
      <c r="BB31" s="96">
        <v>3516192.66</v>
      </c>
      <c r="BC31" s="96">
        <v>1054857.8</v>
      </c>
      <c r="BD31" s="96">
        <f>BB31-BC31</f>
        <v>2461334.8600000003</v>
      </c>
      <c r="BE31" s="96"/>
      <c r="BF31" s="96">
        <v>179961.12</v>
      </c>
      <c r="BG31" s="96">
        <v>53988.34</v>
      </c>
      <c r="BH31" s="96">
        <f>BF31-BG31</f>
        <v>125972.78</v>
      </c>
      <c r="BI31" s="96" t="s">
        <v>305</v>
      </c>
      <c r="BJ31" s="96">
        <v>16932.89</v>
      </c>
      <c r="BK31" s="96">
        <v>0</v>
      </c>
      <c r="BL31" s="96">
        <f>BJ31-BK31</f>
        <v>16932.89</v>
      </c>
      <c r="BM31" s="96" t="s">
        <v>305</v>
      </c>
      <c r="BN31" s="96">
        <v>5355243.59</v>
      </c>
      <c r="BO31" s="96">
        <v>0</v>
      </c>
      <c r="BP31" s="96">
        <f>BN31-BO31</f>
        <v>5355243.59</v>
      </c>
      <c r="BQ31" s="96" t="s">
        <v>889</v>
      </c>
      <c r="BR31" s="96"/>
      <c r="BS31" s="96"/>
      <c r="BT31" s="96"/>
      <c r="BU31" s="96"/>
      <c r="BV31" s="96"/>
      <c r="BW31" s="96"/>
      <c r="BX31" s="96"/>
      <c r="BY31" s="96"/>
      <c r="BZ31" s="96"/>
      <c r="CA31" s="96"/>
      <c r="CB31" s="96"/>
      <c r="CC31" s="96"/>
      <c r="CD31" s="96"/>
      <c r="CE31" s="96"/>
      <c r="CF31" s="96"/>
      <c r="CG31" s="96"/>
      <c r="CH31" s="96"/>
      <c r="CI31" s="96"/>
      <c r="CJ31" s="96"/>
      <c r="CK31" s="96"/>
      <c r="CL31" s="96"/>
      <c r="CM31" s="96"/>
      <c r="CN31" s="96"/>
      <c r="CO31" s="96"/>
      <c r="CP31" s="96"/>
      <c r="CQ31" s="96"/>
      <c r="CR31" s="96"/>
      <c r="CS31" s="96"/>
      <c r="CT31" s="96"/>
      <c r="CU31" s="96"/>
      <c r="CV31" s="96"/>
      <c r="CW31" s="96"/>
      <c r="CX31" s="96"/>
      <c r="CY31" s="96"/>
      <c r="CZ31" s="96"/>
      <c r="DA31" s="96"/>
      <c r="DB31" s="96"/>
      <c r="DC31" s="96"/>
      <c r="DD31" s="96"/>
      <c r="DE31" s="96"/>
      <c r="DF31" s="96"/>
      <c r="DG31" s="96"/>
      <c r="DH31" s="96"/>
      <c r="DI31" s="96"/>
      <c r="DJ31" s="96"/>
      <c r="DK31" s="96"/>
      <c r="DL31" s="96"/>
      <c r="DM31" s="96"/>
      <c r="DN31" s="96"/>
      <c r="DO31" s="96"/>
      <c r="DP31" s="96"/>
      <c r="DQ31" s="96"/>
      <c r="DR31" s="96"/>
      <c r="DS31" s="96"/>
      <c r="DT31" s="96"/>
      <c r="DU31" s="96"/>
      <c r="DV31" s="96"/>
      <c r="DW31" s="96"/>
      <c r="DX31" s="96"/>
      <c r="DY31" s="96"/>
      <c r="DZ31" s="96"/>
      <c r="EA31" s="96"/>
      <c r="EB31" s="96"/>
      <c r="EC31" s="96"/>
      <c r="ED31" s="96"/>
      <c r="EE31" s="96"/>
      <c r="EF31" s="96"/>
      <c r="EG31" s="96"/>
      <c r="EH31" s="96"/>
      <c r="EI31" s="96"/>
      <c r="EJ31" s="97"/>
      <c r="EK31" s="97"/>
      <c r="EL31" s="97"/>
      <c r="EM31" s="96"/>
      <c r="EN31" s="96"/>
      <c r="EO31" s="96"/>
      <c r="EP31" s="96"/>
      <c r="EQ31" s="95">
        <v>44179</v>
      </c>
      <c r="ER31" s="95">
        <v>44358</v>
      </c>
      <c r="ES31" s="90"/>
      <c r="ET31" s="90"/>
      <c r="EU31" s="89" t="s">
        <v>439</v>
      </c>
      <c r="EV31" s="90"/>
      <c r="EW31" s="90"/>
      <c r="EX31" s="98">
        <v>87</v>
      </c>
      <c r="EY31" s="99"/>
      <c r="EZ31" s="99"/>
      <c r="FA31" s="100"/>
      <c r="FB31" s="101" t="s">
        <v>147</v>
      </c>
      <c r="FC31" s="89" t="s">
        <v>440</v>
      </c>
      <c r="FD31" s="87"/>
      <c r="FE31" s="87" t="s">
        <v>360</v>
      </c>
      <c r="FF31" s="107" t="s">
        <v>146</v>
      </c>
      <c r="FG31" s="108">
        <v>86500</v>
      </c>
      <c r="FH31" s="206" t="s">
        <v>682</v>
      </c>
    </row>
    <row r="32" spans="1:164" ht="90" customHeight="1">
      <c r="A32" s="87" t="e">
        <f t="shared" si="3"/>
        <v>#REF!</v>
      </c>
      <c r="B32" s="56"/>
      <c r="C32" s="56"/>
      <c r="D32" s="88"/>
      <c r="E32" s="89">
        <v>117157</v>
      </c>
      <c r="F32" s="90" t="s">
        <v>441</v>
      </c>
      <c r="G32" s="91" t="s">
        <v>434</v>
      </c>
      <c r="H32" s="92">
        <v>5000000</v>
      </c>
      <c r="I32" s="92">
        <v>4776136.3600000003</v>
      </c>
      <c r="J32" s="90" t="s">
        <v>296</v>
      </c>
      <c r="K32" s="93" t="s">
        <v>442</v>
      </c>
      <c r="L32" s="90" t="s">
        <v>443</v>
      </c>
      <c r="M32" s="89" t="s">
        <v>444</v>
      </c>
      <c r="N32" s="90" t="s">
        <v>445</v>
      </c>
      <c r="O32" s="89">
        <v>5526070378</v>
      </c>
      <c r="P32" s="104" t="s">
        <v>446</v>
      </c>
      <c r="Q32" s="198"/>
      <c r="R32" s="94"/>
      <c r="S32" s="94"/>
      <c r="T32" s="94"/>
      <c r="U32" s="94"/>
      <c r="V32" s="95"/>
      <c r="W32" s="95">
        <v>44172</v>
      </c>
      <c r="X32" s="96">
        <v>4117358.93</v>
      </c>
      <c r="Y32" s="96">
        <f t="shared" si="4"/>
        <v>4776136.3587999996</v>
      </c>
      <c r="Z32" s="96">
        <v>4776136.3600000003</v>
      </c>
      <c r="AA32" s="96"/>
      <c r="AB32" s="96">
        <v>1432840.91</v>
      </c>
      <c r="AC32" s="96">
        <v>1432840.91</v>
      </c>
      <c r="AD32" s="96">
        <v>2436119.69</v>
      </c>
      <c r="AE32" s="96">
        <v>1432840.91</v>
      </c>
      <c r="AF32" s="96"/>
      <c r="AG32" s="114">
        <v>44398</v>
      </c>
      <c r="AH32" s="96">
        <v>22162.86</v>
      </c>
      <c r="AI32" s="96">
        <v>0</v>
      </c>
      <c r="AJ32" s="96"/>
      <c r="AK32" s="115" t="s">
        <v>305</v>
      </c>
      <c r="AL32" s="96"/>
      <c r="AM32" s="96"/>
      <c r="AN32" s="96"/>
      <c r="AO32" s="96"/>
      <c r="AP32" s="96"/>
      <c r="AQ32" s="96"/>
      <c r="AR32" s="96"/>
      <c r="AS32" s="96"/>
      <c r="AT32" s="96"/>
      <c r="AU32" s="96"/>
      <c r="AV32" s="96"/>
      <c r="AW32" s="96"/>
      <c r="AX32" s="96"/>
      <c r="AY32" s="96"/>
      <c r="AZ32" s="96"/>
      <c r="BA32" s="96"/>
      <c r="BB32" s="96"/>
      <c r="BC32" s="96"/>
      <c r="BD32" s="96"/>
      <c r="BE32" s="96"/>
      <c r="BF32" s="96"/>
      <c r="BG32" s="96"/>
      <c r="BH32" s="96"/>
      <c r="BI32" s="96"/>
      <c r="BJ32" s="96"/>
      <c r="BK32" s="96"/>
      <c r="BL32" s="96"/>
      <c r="BM32" s="96"/>
      <c r="BN32" s="96"/>
      <c r="BO32" s="96"/>
      <c r="BP32" s="96"/>
      <c r="BQ32" s="96"/>
      <c r="BR32" s="96"/>
      <c r="BS32" s="96"/>
      <c r="BT32" s="96"/>
      <c r="BU32" s="96"/>
      <c r="BV32" s="96"/>
      <c r="BW32" s="96"/>
      <c r="BX32" s="96"/>
      <c r="BY32" s="96"/>
      <c r="BZ32" s="96"/>
      <c r="CA32" s="96"/>
      <c r="CB32" s="96"/>
      <c r="CC32" s="96"/>
      <c r="CD32" s="96"/>
      <c r="CE32" s="96"/>
      <c r="CF32" s="96"/>
      <c r="CG32" s="96"/>
      <c r="CH32" s="96"/>
      <c r="CI32" s="96"/>
      <c r="CJ32" s="96"/>
      <c r="CK32" s="96"/>
      <c r="CL32" s="96"/>
      <c r="CM32" s="96"/>
      <c r="CN32" s="96"/>
      <c r="CO32" s="96"/>
      <c r="CP32" s="96"/>
      <c r="CQ32" s="96"/>
      <c r="CR32" s="96"/>
      <c r="CS32" s="96"/>
      <c r="CT32" s="96"/>
      <c r="CU32" s="96"/>
      <c r="CV32" s="96"/>
      <c r="CW32" s="96"/>
      <c r="CX32" s="96"/>
      <c r="CY32" s="96"/>
      <c r="CZ32" s="96"/>
      <c r="DA32" s="96"/>
      <c r="DB32" s="96"/>
      <c r="DC32" s="96"/>
      <c r="DD32" s="96"/>
      <c r="DE32" s="96"/>
      <c r="DF32" s="96"/>
      <c r="DG32" s="96"/>
      <c r="DH32" s="96"/>
      <c r="DI32" s="96"/>
      <c r="DJ32" s="96"/>
      <c r="DK32" s="96"/>
      <c r="DL32" s="96"/>
      <c r="DM32" s="96"/>
      <c r="DN32" s="96"/>
      <c r="DO32" s="96"/>
      <c r="DP32" s="96"/>
      <c r="DQ32" s="96"/>
      <c r="DR32" s="96"/>
      <c r="DS32" s="96"/>
      <c r="DT32" s="96"/>
      <c r="DU32" s="96"/>
      <c r="DV32" s="96"/>
      <c r="DW32" s="96"/>
      <c r="DX32" s="96"/>
      <c r="DY32" s="96"/>
      <c r="DZ32" s="96"/>
      <c r="EA32" s="96"/>
      <c r="EB32" s="96"/>
      <c r="EC32" s="96"/>
      <c r="ED32" s="96"/>
      <c r="EE32" s="96"/>
      <c r="EF32" s="96"/>
      <c r="EG32" s="96"/>
      <c r="EH32" s="96"/>
      <c r="EI32" s="96"/>
      <c r="EJ32" s="97"/>
      <c r="EK32" s="97"/>
      <c r="EL32" s="97"/>
      <c r="EM32" s="96"/>
      <c r="EN32" s="96"/>
      <c r="EO32" s="96"/>
      <c r="EP32" s="96"/>
      <c r="EQ32" s="95">
        <v>44179</v>
      </c>
      <c r="ER32" s="95">
        <v>44298</v>
      </c>
      <c r="ES32" s="90"/>
      <c r="ET32" s="90"/>
      <c r="EU32" s="90"/>
      <c r="EV32" s="90"/>
      <c r="EW32" s="90"/>
      <c r="EX32" s="98">
        <v>51.2</v>
      </c>
      <c r="EY32" s="99"/>
      <c r="EZ32" s="99"/>
      <c r="FA32" s="100"/>
      <c r="FB32" s="101" t="s">
        <v>149</v>
      </c>
      <c r="FC32" s="89" t="s">
        <v>332</v>
      </c>
      <c r="FD32" s="87"/>
      <c r="FE32" s="87" t="s">
        <v>333</v>
      </c>
      <c r="FF32" s="107" t="s">
        <v>160</v>
      </c>
      <c r="FG32" s="108">
        <v>1629</v>
      </c>
      <c r="FH32" s="116" t="s">
        <v>447</v>
      </c>
    </row>
    <row r="33" spans="1:164" ht="136.5" customHeight="1">
      <c r="A33" s="87" t="e">
        <f t="shared" si="3"/>
        <v>#REF!</v>
      </c>
      <c r="B33" s="56"/>
      <c r="C33" s="56"/>
      <c r="D33" s="88"/>
      <c r="E33" s="89">
        <v>117159</v>
      </c>
      <c r="F33" s="90" t="s">
        <v>448</v>
      </c>
      <c r="G33" s="91" t="s">
        <v>449</v>
      </c>
      <c r="H33" s="92">
        <v>22000000</v>
      </c>
      <c r="I33" s="92">
        <v>17106855.739999998</v>
      </c>
      <c r="J33" s="90" t="s">
        <v>296</v>
      </c>
      <c r="K33" s="93" t="s">
        <v>450</v>
      </c>
      <c r="L33" s="90" t="s">
        <v>304</v>
      </c>
      <c r="M33" s="89" t="s">
        <v>451</v>
      </c>
      <c r="N33" s="90" t="s">
        <v>452</v>
      </c>
      <c r="O33" s="89">
        <v>7711071733</v>
      </c>
      <c r="P33" s="104" t="s">
        <v>453</v>
      </c>
      <c r="Q33" s="90"/>
      <c r="R33" s="94"/>
      <c r="S33" s="94"/>
      <c r="T33" s="94"/>
      <c r="U33" s="94"/>
      <c r="V33" s="95"/>
      <c r="W33" s="95">
        <v>44097</v>
      </c>
      <c r="X33" s="96">
        <f>14747289.43+4217959.78</f>
        <v>18965249.210000001</v>
      </c>
      <c r="Y33" s="96">
        <f t="shared" si="4"/>
        <v>21999689.0836</v>
      </c>
      <c r="Z33" s="96">
        <v>21999689.079999998</v>
      </c>
      <c r="AA33" s="96"/>
      <c r="AB33" s="96">
        <v>0</v>
      </c>
      <c r="AC33" s="96">
        <v>0</v>
      </c>
      <c r="AD33" s="96">
        <v>2892064.37</v>
      </c>
      <c r="AE33" s="96"/>
      <c r="AF33" s="96"/>
      <c r="AG33" s="112">
        <v>44209</v>
      </c>
      <c r="AH33" s="96">
        <v>2046581.2</v>
      </c>
      <c r="AI33" s="96"/>
      <c r="AJ33" s="96"/>
      <c r="AK33" s="112">
        <v>44330</v>
      </c>
      <c r="AL33" s="96">
        <v>925220.04</v>
      </c>
      <c r="AM33" s="96"/>
      <c r="AN33" s="117">
        <v>123760.88</v>
      </c>
      <c r="AO33" s="112">
        <v>44435</v>
      </c>
      <c r="AP33" s="96">
        <v>2459303.41</v>
      </c>
      <c r="AQ33" s="96">
        <v>0</v>
      </c>
      <c r="AR33" s="96">
        <f>AP33-AQ33</f>
        <v>2459303.41</v>
      </c>
      <c r="AS33" s="112">
        <v>44495</v>
      </c>
      <c r="AT33" s="96">
        <v>800259.64</v>
      </c>
      <c r="AU33" s="96">
        <v>0</v>
      </c>
      <c r="AV33" s="96">
        <f>AT33-AU33</f>
        <v>800259.64</v>
      </c>
      <c r="AW33" s="112">
        <v>44525</v>
      </c>
      <c r="AX33" s="96">
        <v>3355649.38</v>
      </c>
      <c r="AY33" s="96">
        <v>0</v>
      </c>
      <c r="AZ33" s="96">
        <f>AX33-AY33</f>
        <v>3355649.38</v>
      </c>
      <c r="BA33" s="96" t="s">
        <v>1222</v>
      </c>
      <c r="BB33" s="96">
        <v>1358667.96</v>
      </c>
      <c r="BC33" s="96">
        <v>0</v>
      </c>
      <c r="BD33" s="96">
        <f>BB33-BC33</f>
        <v>1358667.96</v>
      </c>
      <c r="BE33" s="96"/>
      <c r="BF33" s="96">
        <v>230925.27</v>
      </c>
      <c r="BG33" s="96">
        <v>0</v>
      </c>
      <c r="BH33" s="96">
        <f>BF33-BG33</f>
        <v>230925.27</v>
      </c>
      <c r="BI33" s="96" t="s">
        <v>1344</v>
      </c>
      <c r="BJ33" s="96">
        <v>708616.66</v>
      </c>
      <c r="BK33" s="96">
        <v>0</v>
      </c>
      <c r="BL33" s="96">
        <f>BJ33-BK33</f>
        <v>708616.66</v>
      </c>
      <c r="BM33" s="96" t="s">
        <v>1380</v>
      </c>
      <c r="BN33" s="96"/>
      <c r="BO33" s="96"/>
      <c r="BP33" s="96"/>
      <c r="BQ33" s="96"/>
      <c r="BR33" s="96">
        <v>0</v>
      </c>
      <c r="BS33" s="96">
        <v>0</v>
      </c>
      <c r="BT33" s="96">
        <v>0</v>
      </c>
      <c r="BU33" s="96" t="s">
        <v>1404</v>
      </c>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c r="DT33" s="96"/>
      <c r="DU33" s="96"/>
      <c r="DV33" s="96"/>
      <c r="DW33" s="96"/>
      <c r="DX33" s="96"/>
      <c r="DY33" s="96"/>
      <c r="DZ33" s="96"/>
      <c r="EA33" s="96"/>
      <c r="EB33" s="96"/>
      <c r="EC33" s="96"/>
      <c r="ED33" s="96"/>
      <c r="EE33" s="96"/>
      <c r="EF33" s="96"/>
      <c r="EG33" s="96"/>
      <c r="EH33" s="96"/>
      <c r="EI33" s="96"/>
      <c r="EJ33" s="97"/>
      <c r="EK33" s="97"/>
      <c r="EL33" s="97"/>
      <c r="EM33" s="96"/>
      <c r="EN33" s="96"/>
      <c r="EO33" s="96"/>
      <c r="EP33" s="96"/>
      <c r="EQ33" s="95">
        <v>44109</v>
      </c>
      <c r="ER33" s="95">
        <v>44348</v>
      </c>
      <c r="ES33" s="92">
        <v>4892833.3499999996</v>
      </c>
      <c r="ET33" s="89" t="s">
        <v>454</v>
      </c>
      <c r="EU33" s="89" t="s">
        <v>455</v>
      </c>
      <c r="EV33" s="90"/>
      <c r="EW33" s="90"/>
      <c r="EX33" s="315">
        <v>99</v>
      </c>
      <c r="EY33" s="99"/>
      <c r="EZ33" s="99"/>
      <c r="FA33" s="100"/>
      <c r="FB33" s="101" t="s">
        <v>1083</v>
      </c>
      <c r="FC33" s="89" t="s">
        <v>457</v>
      </c>
      <c r="FD33" s="87"/>
      <c r="FE33" s="87" t="s">
        <v>375</v>
      </c>
      <c r="FF33" s="107" t="s">
        <v>146</v>
      </c>
      <c r="FG33" s="108">
        <v>7092</v>
      </c>
      <c r="FH33" s="118" t="s">
        <v>887</v>
      </c>
    </row>
    <row r="34" spans="1:164" ht="141" customHeight="1">
      <c r="A34" s="87" t="e">
        <f t="shared" si="3"/>
        <v>#REF!</v>
      </c>
      <c r="B34" s="56"/>
      <c r="C34" s="56"/>
      <c r="D34" s="88"/>
      <c r="E34" s="89">
        <v>117161</v>
      </c>
      <c r="F34" s="90" t="s">
        <v>458</v>
      </c>
      <c r="G34" s="91" t="s">
        <v>434</v>
      </c>
      <c r="H34" s="92">
        <v>18000000</v>
      </c>
      <c r="I34" s="92">
        <v>17498461.649999999</v>
      </c>
      <c r="J34" s="90" t="s">
        <v>296</v>
      </c>
      <c r="K34" s="93" t="s">
        <v>459</v>
      </c>
      <c r="L34" s="90" t="s">
        <v>460</v>
      </c>
      <c r="M34" s="89" t="s">
        <v>306</v>
      </c>
      <c r="N34" s="90" t="s">
        <v>461</v>
      </c>
      <c r="O34" s="89">
        <v>7227732723</v>
      </c>
      <c r="P34" s="104" t="s">
        <v>462</v>
      </c>
      <c r="Q34" s="90"/>
      <c r="R34" s="94"/>
      <c r="S34" s="94"/>
      <c r="T34" s="94"/>
      <c r="U34" s="94"/>
      <c r="V34" s="95"/>
      <c r="W34" s="95">
        <v>43836</v>
      </c>
      <c r="X34" s="96">
        <v>15084880.73</v>
      </c>
      <c r="Y34" s="96">
        <f t="shared" si="4"/>
        <v>17498461.6468</v>
      </c>
      <c r="Z34" s="96">
        <v>17498461.649999999</v>
      </c>
      <c r="AA34" s="96"/>
      <c r="AB34" s="96">
        <v>5249538.49</v>
      </c>
      <c r="AC34" s="96">
        <v>5249538.4949999992</v>
      </c>
      <c r="AD34" s="96">
        <v>1721065.38</v>
      </c>
      <c r="AE34" s="96">
        <v>516319.62</v>
      </c>
      <c r="AF34" s="96">
        <v>1197327.3799999999</v>
      </c>
      <c r="AG34" s="112">
        <v>44435</v>
      </c>
      <c r="AH34" s="96">
        <v>1158834.43</v>
      </c>
      <c r="AI34" s="96">
        <v>359283.15</v>
      </c>
      <c r="AJ34" s="96"/>
      <c r="AK34" s="114">
        <v>44435</v>
      </c>
      <c r="AL34" s="96">
        <v>2718896.13</v>
      </c>
      <c r="AM34" s="96">
        <v>815668.84</v>
      </c>
      <c r="AN34" s="96"/>
      <c r="AO34" s="110">
        <v>44509</v>
      </c>
      <c r="AP34" s="96">
        <v>3686407.48</v>
      </c>
      <c r="AQ34" s="96">
        <v>1105922.24</v>
      </c>
      <c r="AR34" s="96"/>
      <c r="AS34" s="106"/>
      <c r="AT34" s="96">
        <v>2768846.55</v>
      </c>
      <c r="AU34" s="96">
        <v>830653.97</v>
      </c>
      <c r="AV34" s="96">
        <f>AT34-AU34</f>
        <v>1938192.5799999998</v>
      </c>
      <c r="AW34" s="106"/>
      <c r="AX34" s="96">
        <v>3191396.12</v>
      </c>
      <c r="AY34" s="96">
        <v>1634756.37</v>
      </c>
      <c r="AZ34" s="96">
        <f>AX34-AY34</f>
        <v>1556639.75</v>
      </c>
      <c r="BA34" s="96"/>
      <c r="BB34" s="96" t="s">
        <v>1383</v>
      </c>
      <c r="BC34" s="96">
        <v>0</v>
      </c>
      <c r="BD34" s="96" t="e">
        <f>BB34-BC34</f>
        <v>#VALUE!</v>
      </c>
      <c r="BE34" s="96" t="s">
        <v>1110</v>
      </c>
      <c r="BF34" s="96"/>
      <c r="BG34" s="96"/>
      <c r="BH34" s="96"/>
      <c r="BI34" s="96"/>
      <c r="BJ34" s="96"/>
      <c r="BK34" s="96"/>
      <c r="BL34" s="96"/>
      <c r="BM34" s="96"/>
      <c r="BN34" s="96"/>
      <c r="BO34" s="96"/>
      <c r="BP34" s="96"/>
      <c r="BQ34" s="96"/>
      <c r="BR34" s="96"/>
      <c r="BS34" s="96"/>
      <c r="BT34" s="96"/>
      <c r="BU34" s="96"/>
      <c r="BV34" s="96"/>
      <c r="BW34" s="96"/>
      <c r="BX34" s="96"/>
      <c r="BY34" s="96"/>
      <c r="BZ34" s="96"/>
      <c r="CA34" s="96"/>
      <c r="CB34" s="96"/>
      <c r="CC34" s="96"/>
      <c r="CD34" s="96"/>
      <c r="CE34" s="96"/>
      <c r="CF34" s="96"/>
      <c r="CG34" s="96"/>
      <c r="CH34" s="96"/>
      <c r="CI34" s="96"/>
      <c r="CJ34" s="96"/>
      <c r="CK34" s="96"/>
      <c r="CL34" s="96"/>
      <c r="CM34" s="96"/>
      <c r="CN34" s="96"/>
      <c r="CO34" s="96"/>
      <c r="CP34" s="96"/>
      <c r="CQ34" s="96"/>
      <c r="CR34" s="96"/>
      <c r="CS34" s="96"/>
      <c r="CT34" s="96"/>
      <c r="CU34" s="96"/>
      <c r="CV34" s="96"/>
      <c r="CW34" s="96"/>
      <c r="CX34" s="96"/>
      <c r="CY34" s="96"/>
      <c r="CZ34" s="96"/>
      <c r="DA34" s="96"/>
      <c r="DB34" s="96"/>
      <c r="DC34" s="96"/>
      <c r="DD34" s="96"/>
      <c r="DE34" s="96"/>
      <c r="DF34" s="96"/>
      <c r="DG34" s="96"/>
      <c r="DH34" s="96"/>
      <c r="DI34" s="96"/>
      <c r="DJ34" s="96"/>
      <c r="DK34" s="96"/>
      <c r="DL34" s="96"/>
      <c r="DM34" s="96"/>
      <c r="DN34" s="96"/>
      <c r="DO34" s="96"/>
      <c r="DP34" s="96"/>
      <c r="DQ34" s="96"/>
      <c r="DR34" s="96"/>
      <c r="DS34" s="96"/>
      <c r="DT34" s="96"/>
      <c r="DU34" s="96"/>
      <c r="DV34" s="96"/>
      <c r="DW34" s="96"/>
      <c r="DX34" s="96"/>
      <c r="DY34" s="96"/>
      <c r="DZ34" s="96"/>
      <c r="EA34" s="96"/>
      <c r="EB34" s="96"/>
      <c r="EC34" s="96"/>
      <c r="ED34" s="96"/>
      <c r="EE34" s="96"/>
      <c r="EF34" s="96"/>
      <c r="EG34" s="96"/>
      <c r="EH34" s="96"/>
      <c r="EI34" s="96"/>
      <c r="EJ34" s="97"/>
      <c r="EK34" s="97"/>
      <c r="EL34" s="97"/>
      <c r="EM34" s="96"/>
      <c r="EN34" s="96"/>
      <c r="EO34" s="96"/>
      <c r="EP34" s="96"/>
      <c r="EQ34" s="95">
        <v>44207</v>
      </c>
      <c r="ER34" s="95">
        <v>44326</v>
      </c>
      <c r="ES34" s="90"/>
      <c r="ET34" s="119" t="s">
        <v>463</v>
      </c>
      <c r="EU34" s="89" t="s">
        <v>464</v>
      </c>
      <c r="EV34" s="90"/>
      <c r="EW34" s="90"/>
      <c r="EX34" s="98">
        <v>100</v>
      </c>
      <c r="EY34" s="99"/>
      <c r="EZ34" s="99"/>
      <c r="FA34" s="100"/>
      <c r="FB34" s="101" t="s">
        <v>147</v>
      </c>
      <c r="FC34" s="89" t="s">
        <v>465</v>
      </c>
      <c r="FD34" s="87"/>
      <c r="FE34" s="87" t="s">
        <v>348</v>
      </c>
      <c r="FF34" s="107" t="s">
        <v>148</v>
      </c>
      <c r="FG34" s="108">
        <v>6000</v>
      </c>
      <c r="FH34" s="109" t="s">
        <v>692</v>
      </c>
    </row>
    <row r="35" spans="1:164" ht="110.25" customHeight="1">
      <c r="A35" s="87" t="e">
        <f t="shared" si="3"/>
        <v>#REF!</v>
      </c>
      <c r="B35" s="56"/>
      <c r="C35" s="56"/>
      <c r="D35" s="88"/>
      <c r="E35" s="89">
        <v>117162</v>
      </c>
      <c r="F35" s="90" t="s">
        <v>466</v>
      </c>
      <c r="G35" s="91" t="s">
        <v>467</v>
      </c>
      <c r="H35" s="92">
        <f>25000000-10149474.75</f>
        <v>14850525.25</v>
      </c>
      <c r="I35" s="92">
        <f>24849858.36-9999333.11</f>
        <v>14850525.25</v>
      </c>
      <c r="J35" s="90" t="s">
        <v>296</v>
      </c>
      <c r="K35" s="93" t="s">
        <v>468</v>
      </c>
      <c r="L35" s="90" t="s">
        <v>469</v>
      </c>
      <c r="M35" s="89" t="s">
        <v>470</v>
      </c>
      <c r="N35" s="90" t="s">
        <v>471</v>
      </c>
      <c r="O35" s="89">
        <v>6888133412</v>
      </c>
      <c r="P35" s="104" t="s">
        <v>472</v>
      </c>
      <c r="Q35" s="90"/>
      <c r="R35" s="94"/>
      <c r="S35" s="94"/>
      <c r="T35" s="94"/>
      <c r="U35" s="94"/>
      <c r="V35" s="95"/>
      <c r="W35" s="95">
        <v>44174</v>
      </c>
      <c r="X35" s="96">
        <v>21422291.690000001</v>
      </c>
      <c r="Y35" s="96">
        <f t="shared" si="4"/>
        <v>24849858.360399999</v>
      </c>
      <c r="Z35" s="96">
        <v>24849858.359999999</v>
      </c>
      <c r="AA35" s="96"/>
      <c r="AB35" s="96">
        <v>7454957.5099999998</v>
      </c>
      <c r="AC35" s="96"/>
      <c r="AD35" s="96">
        <v>3288791.24</v>
      </c>
      <c r="AE35" s="96">
        <v>986846.34</v>
      </c>
      <c r="AF35" s="96"/>
      <c r="AG35" s="114">
        <v>44384</v>
      </c>
      <c r="AH35" s="96">
        <v>1228263.46</v>
      </c>
      <c r="AI35" s="96">
        <v>368479.03</v>
      </c>
      <c r="AJ35" s="96"/>
      <c r="AK35" s="114">
        <v>44414</v>
      </c>
      <c r="AL35" s="96">
        <v>843176.16</v>
      </c>
      <c r="AM35" s="96">
        <v>252952.85</v>
      </c>
      <c r="AN35" s="96"/>
      <c r="AO35" s="114">
        <v>44456</v>
      </c>
      <c r="AP35" s="96">
        <v>506404.41</v>
      </c>
      <c r="AQ35" s="96">
        <v>151921.32999999999</v>
      </c>
      <c r="AR35" s="96"/>
      <c r="AS35" s="120">
        <v>44456</v>
      </c>
      <c r="AT35" s="96">
        <v>1044024.06</v>
      </c>
      <c r="AU35" s="96">
        <v>313207.21999999997</v>
      </c>
      <c r="AV35" s="96"/>
      <c r="AW35" s="120" t="s">
        <v>473</v>
      </c>
      <c r="AX35" s="121">
        <v>710823.76</v>
      </c>
      <c r="AY35" s="96">
        <v>213247.13</v>
      </c>
      <c r="AZ35" s="96"/>
      <c r="BA35" s="96" t="s">
        <v>474</v>
      </c>
      <c r="BB35" s="96">
        <v>2293790.19</v>
      </c>
      <c r="BC35" s="96">
        <v>2293790.19</v>
      </c>
      <c r="BD35" s="96">
        <f>BB35-BC35</f>
        <v>0</v>
      </c>
      <c r="BE35" s="106" t="s">
        <v>475</v>
      </c>
      <c r="BF35" s="96">
        <v>2805912.76</v>
      </c>
      <c r="BG35" s="96">
        <v>841773.82</v>
      </c>
      <c r="BH35" s="96">
        <f>BF35-BG35</f>
        <v>1964138.94</v>
      </c>
      <c r="BI35" s="96" t="s">
        <v>476</v>
      </c>
      <c r="BJ35" s="96">
        <v>340049.66</v>
      </c>
      <c r="BK35" s="96">
        <v>340049.66</v>
      </c>
      <c r="BL35" s="96">
        <f>BJ35-BK35</f>
        <v>0</v>
      </c>
      <c r="BM35" s="96" t="s">
        <v>477</v>
      </c>
      <c r="BN35" s="96">
        <v>25280.99</v>
      </c>
      <c r="BO35" s="96">
        <v>25280.99</v>
      </c>
      <c r="BP35" s="96">
        <f>BN35-BO35</f>
        <v>0</v>
      </c>
      <c r="BQ35" s="96" t="s">
        <v>478</v>
      </c>
      <c r="BR35" s="96">
        <v>1559161.89</v>
      </c>
      <c r="BS35" s="96">
        <v>1559161.89</v>
      </c>
      <c r="BT35" s="96">
        <f>BR35-BS35</f>
        <v>0</v>
      </c>
      <c r="BU35" s="96" t="s">
        <v>1079</v>
      </c>
      <c r="BV35" s="96"/>
      <c r="BW35" s="96"/>
      <c r="BX35" s="96"/>
      <c r="BY35" s="96"/>
      <c r="BZ35" s="96"/>
      <c r="CA35" s="96"/>
      <c r="CB35" s="96"/>
      <c r="CC35" s="96"/>
      <c r="CD35" s="96"/>
      <c r="CE35" s="96"/>
      <c r="CF35" s="96"/>
      <c r="CG35" s="96"/>
      <c r="CH35" s="96"/>
      <c r="CI35" s="96"/>
      <c r="CJ35" s="96"/>
      <c r="CK35" s="96"/>
      <c r="CL35" s="96"/>
      <c r="CM35" s="96"/>
      <c r="CN35" s="96"/>
      <c r="CO35" s="96"/>
      <c r="CP35" s="96"/>
      <c r="CQ35" s="96"/>
      <c r="CR35" s="96"/>
      <c r="CS35" s="96"/>
      <c r="CT35" s="96"/>
      <c r="CU35" s="96"/>
      <c r="CV35" s="96"/>
      <c r="CW35" s="96"/>
      <c r="CX35" s="96"/>
      <c r="CY35" s="96"/>
      <c r="CZ35" s="96"/>
      <c r="DA35" s="96"/>
      <c r="DB35" s="96"/>
      <c r="DC35" s="96"/>
      <c r="DD35" s="96"/>
      <c r="DE35" s="96"/>
      <c r="DF35" s="96"/>
      <c r="DG35" s="96"/>
      <c r="DH35" s="96"/>
      <c r="DI35" s="96"/>
      <c r="DJ35" s="96"/>
      <c r="DK35" s="96"/>
      <c r="DL35" s="96"/>
      <c r="DM35" s="96"/>
      <c r="DN35" s="96"/>
      <c r="DO35" s="96"/>
      <c r="DP35" s="96"/>
      <c r="DQ35" s="96"/>
      <c r="DR35" s="96"/>
      <c r="DS35" s="96"/>
      <c r="DT35" s="96"/>
      <c r="DU35" s="96"/>
      <c r="DV35" s="96"/>
      <c r="DW35" s="96"/>
      <c r="DX35" s="96"/>
      <c r="DY35" s="96"/>
      <c r="DZ35" s="96"/>
      <c r="EA35" s="96"/>
      <c r="EB35" s="96"/>
      <c r="EC35" s="96"/>
      <c r="ED35" s="96"/>
      <c r="EE35" s="96"/>
      <c r="EF35" s="96"/>
      <c r="EG35" s="96"/>
      <c r="EH35" s="96"/>
      <c r="EI35" s="96"/>
      <c r="EJ35" s="97"/>
      <c r="EK35" s="97"/>
      <c r="EL35" s="97"/>
      <c r="EM35" s="96"/>
      <c r="EN35" s="96"/>
      <c r="EO35" s="96"/>
      <c r="EP35" s="96"/>
      <c r="EQ35" s="95">
        <v>44179</v>
      </c>
      <c r="ER35" s="95">
        <v>44328</v>
      </c>
      <c r="ES35" s="90"/>
      <c r="ET35" s="89" t="s">
        <v>479</v>
      </c>
      <c r="EU35" s="89" t="s">
        <v>480</v>
      </c>
      <c r="EV35" s="90"/>
      <c r="EW35" s="90"/>
      <c r="EX35" s="98">
        <v>72</v>
      </c>
      <c r="EY35" s="99"/>
      <c r="EZ35" s="99"/>
      <c r="FA35" s="100"/>
      <c r="FB35" s="101" t="s">
        <v>456</v>
      </c>
      <c r="FC35" s="89" t="s">
        <v>481</v>
      </c>
      <c r="FD35" s="87"/>
      <c r="FE35" s="87" t="s">
        <v>157</v>
      </c>
      <c r="FF35" s="107" t="s">
        <v>146</v>
      </c>
      <c r="FG35" s="108">
        <v>15183</v>
      </c>
      <c r="FH35" s="122" t="s">
        <v>482</v>
      </c>
    </row>
    <row r="36" spans="1:164" ht="178.5" customHeight="1">
      <c r="A36" s="87" t="e">
        <f t="shared" si="3"/>
        <v>#REF!</v>
      </c>
      <c r="B36" s="56"/>
      <c r="C36" s="56"/>
      <c r="D36" s="88"/>
      <c r="E36" s="89">
        <v>117163</v>
      </c>
      <c r="F36" s="90" t="s">
        <v>483</v>
      </c>
      <c r="G36" s="91" t="s">
        <v>449</v>
      </c>
      <c r="H36" s="92">
        <v>49000000</v>
      </c>
      <c r="I36" s="92">
        <v>47220083.189999998</v>
      </c>
      <c r="J36" s="90" t="s">
        <v>296</v>
      </c>
      <c r="K36" s="93" t="s">
        <v>484</v>
      </c>
      <c r="L36" s="90" t="s">
        <v>485</v>
      </c>
      <c r="M36" s="89" t="s">
        <v>486</v>
      </c>
      <c r="N36" s="90" t="s">
        <v>487</v>
      </c>
      <c r="O36" s="89" t="s">
        <v>488</v>
      </c>
      <c r="P36" s="104" t="s">
        <v>489</v>
      </c>
      <c r="Q36" s="90"/>
      <c r="R36" s="94"/>
      <c r="S36" s="94"/>
      <c r="T36" s="94"/>
      <c r="U36" s="94"/>
      <c r="V36" s="95"/>
      <c r="W36" s="95">
        <v>44130</v>
      </c>
      <c r="X36" s="96">
        <v>40706968.270000003</v>
      </c>
      <c r="Y36" s="96">
        <f t="shared" si="4"/>
        <v>47220083.1932</v>
      </c>
      <c r="Z36" s="96">
        <v>47220083.189999998</v>
      </c>
      <c r="AA36" s="96"/>
      <c r="AB36" s="96"/>
      <c r="AC36" s="96"/>
      <c r="AD36" s="96">
        <v>7006551.8300000001</v>
      </c>
      <c r="AE36" s="96">
        <v>0</v>
      </c>
      <c r="AF36" s="96">
        <v>7006551.8300000001</v>
      </c>
      <c r="AH36" s="96">
        <v>1681629.54</v>
      </c>
      <c r="AI36" s="96">
        <v>0</v>
      </c>
      <c r="AJ36" s="96">
        <v>1681629.54</v>
      </c>
      <c r="AK36" s="123"/>
      <c r="AL36" s="96">
        <v>14233627.51</v>
      </c>
      <c r="AM36" s="96">
        <v>0</v>
      </c>
      <c r="AN36" s="96">
        <v>14233627.51</v>
      </c>
      <c r="AO36" s="124">
        <v>44313</v>
      </c>
      <c r="AP36" s="96">
        <v>905208.13</v>
      </c>
      <c r="AQ36" s="96">
        <v>0</v>
      </c>
      <c r="AR36" s="96">
        <v>905208.13</v>
      </c>
      <c r="AS36" s="124">
        <v>44363</v>
      </c>
      <c r="AT36" s="96">
        <v>2868410.02</v>
      </c>
      <c r="AU36" s="96">
        <v>0</v>
      </c>
      <c r="AV36" s="96">
        <v>2868410.02</v>
      </c>
      <c r="AW36" s="124">
        <v>44398</v>
      </c>
      <c r="AX36" s="96">
        <v>899705.07</v>
      </c>
      <c r="AY36" s="96">
        <v>0</v>
      </c>
      <c r="AZ36" s="96">
        <v>899705.07</v>
      </c>
      <c r="BA36" s="124">
        <v>44456</v>
      </c>
      <c r="BB36" s="96">
        <v>520478.16</v>
      </c>
      <c r="BC36" s="96">
        <v>0</v>
      </c>
      <c r="BD36" s="96">
        <v>520478.16</v>
      </c>
      <c r="BE36" s="124">
        <v>44484</v>
      </c>
      <c r="BF36" s="96">
        <v>1153911.42</v>
      </c>
      <c r="BG36" s="96">
        <v>0</v>
      </c>
      <c r="BH36" s="96">
        <v>1153911.42</v>
      </c>
      <c r="BI36" s="124">
        <v>44522</v>
      </c>
      <c r="BJ36" s="96">
        <v>2025431.97</v>
      </c>
      <c r="BK36" s="96">
        <v>0</v>
      </c>
      <c r="BL36" s="96">
        <v>2025431.97</v>
      </c>
      <c r="BM36" s="96"/>
      <c r="BN36" s="96">
        <v>4229756.49</v>
      </c>
      <c r="BO36" s="96">
        <v>0</v>
      </c>
      <c r="BP36" s="96"/>
      <c r="BQ36" s="96"/>
      <c r="BR36" s="96">
        <v>1256213.6499999999</v>
      </c>
      <c r="BS36" s="96">
        <v>0</v>
      </c>
      <c r="BT36" s="96"/>
      <c r="BU36" s="96"/>
      <c r="BV36" s="96">
        <v>2029137.83</v>
      </c>
      <c r="BW36" s="96">
        <v>0</v>
      </c>
      <c r="BX36" s="96">
        <f>BV36-BW36</f>
        <v>2029137.83</v>
      </c>
      <c r="BY36" s="96"/>
      <c r="BZ36" s="96">
        <v>1701158.76</v>
      </c>
      <c r="CA36" s="96">
        <v>0</v>
      </c>
      <c r="CB36" s="96">
        <f>BZ36-CA36</f>
        <v>1701158.76</v>
      </c>
      <c r="CC36" s="96"/>
      <c r="CD36" s="96">
        <v>6713701.9000000004</v>
      </c>
      <c r="CE36" s="96">
        <v>0</v>
      </c>
      <c r="CF36" s="96">
        <f>CD36-CE36</f>
        <v>6713701.9000000004</v>
      </c>
      <c r="CG36" s="96"/>
      <c r="CH36" s="96">
        <v>140443.79999999999</v>
      </c>
      <c r="CI36" s="96">
        <v>0</v>
      </c>
      <c r="CJ36" s="96">
        <f>CH36-CI36</f>
        <v>140443.79999999999</v>
      </c>
      <c r="CK36" s="96" t="s">
        <v>1216</v>
      </c>
      <c r="CL36" s="96">
        <v>264514.34000000003</v>
      </c>
      <c r="CM36" s="96">
        <v>0</v>
      </c>
      <c r="CN36" s="96">
        <f>CL36-CM36</f>
        <v>264514.34000000003</v>
      </c>
      <c r="CO36" s="96" t="s">
        <v>1217</v>
      </c>
      <c r="CP36" s="96">
        <v>141594.25</v>
      </c>
      <c r="CQ36" s="96">
        <v>0</v>
      </c>
      <c r="CR36" s="96">
        <f>CP36-CQ36</f>
        <v>141594.25</v>
      </c>
      <c r="CS36" s="96" t="s">
        <v>1218</v>
      </c>
      <c r="CT36" s="96">
        <v>189813.9</v>
      </c>
      <c r="CU36" s="96">
        <v>0</v>
      </c>
      <c r="CV36" s="96">
        <f>CT36-CU36</f>
        <v>189813.9</v>
      </c>
      <c r="CW36" s="96" t="s">
        <v>1219</v>
      </c>
      <c r="CX36" s="96">
        <v>1027884.05</v>
      </c>
      <c r="CY36" s="96">
        <v>0</v>
      </c>
      <c r="CZ36" s="96">
        <f>CX36-CY36</f>
        <v>1027884.05</v>
      </c>
      <c r="DA36" s="96" t="s">
        <v>1308</v>
      </c>
      <c r="DB36" s="96">
        <v>0</v>
      </c>
      <c r="DC36" s="96">
        <v>0</v>
      </c>
      <c r="DD36" s="96">
        <v>0</v>
      </c>
      <c r="DE36" s="96" t="s">
        <v>1338</v>
      </c>
      <c r="DF36" s="96">
        <v>0</v>
      </c>
      <c r="DG36" s="96">
        <v>0</v>
      </c>
      <c r="DH36" s="96">
        <v>0</v>
      </c>
      <c r="DI36" s="96" t="s">
        <v>1339</v>
      </c>
      <c r="DJ36" s="96"/>
      <c r="DK36" s="96"/>
      <c r="DL36" s="96"/>
      <c r="DM36" s="96"/>
      <c r="DN36" s="96"/>
      <c r="DO36" s="96"/>
      <c r="DP36" s="96"/>
      <c r="DQ36" s="96"/>
      <c r="DR36" s="96"/>
      <c r="DS36" s="96"/>
      <c r="DT36" s="96"/>
      <c r="DU36" s="96"/>
      <c r="DV36" s="96"/>
      <c r="DW36" s="96"/>
      <c r="DX36" s="96"/>
      <c r="DY36" s="96"/>
      <c r="DZ36" s="96"/>
      <c r="EA36" s="96"/>
      <c r="EB36" s="96"/>
      <c r="EC36" s="96"/>
      <c r="ED36" s="96"/>
      <c r="EE36" s="96"/>
      <c r="EF36" s="96"/>
      <c r="EG36" s="96"/>
      <c r="EH36" s="96"/>
      <c r="EI36" s="96"/>
      <c r="EJ36" s="97"/>
      <c r="EK36" s="97"/>
      <c r="EL36" s="97"/>
      <c r="EM36" s="96"/>
      <c r="EN36" s="96"/>
      <c r="EO36" s="96"/>
      <c r="EP36" s="96"/>
      <c r="EQ36" s="95">
        <v>44148</v>
      </c>
      <c r="ER36" s="95">
        <v>44319</v>
      </c>
      <c r="ES36" s="90"/>
      <c r="ET36" s="89" t="s">
        <v>490</v>
      </c>
      <c r="EU36" s="89" t="s">
        <v>491</v>
      </c>
      <c r="EV36" s="90"/>
      <c r="EW36" s="90"/>
      <c r="EX36" s="98">
        <v>100</v>
      </c>
      <c r="EY36" s="99"/>
      <c r="EZ36" s="99"/>
      <c r="FA36" s="100"/>
      <c r="FB36" s="101" t="s">
        <v>147</v>
      </c>
      <c r="FC36" s="89" t="s">
        <v>492</v>
      </c>
      <c r="FD36" s="87"/>
      <c r="FE36" s="87" t="s">
        <v>328</v>
      </c>
      <c r="FF36" s="107" t="s">
        <v>146</v>
      </c>
      <c r="FG36" s="108">
        <v>66753</v>
      </c>
      <c r="FH36" s="89" t="s">
        <v>493</v>
      </c>
    </row>
    <row r="37" spans="1:164" ht="50.1" customHeight="1">
      <c r="A37" s="87" t="e">
        <f>#REF!+1</f>
        <v>#REF!</v>
      </c>
      <c r="B37" s="56"/>
      <c r="C37" s="56"/>
      <c r="D37" s="88"/>
      <c r="E37" s="89">
        <v>85067</v>
      </c>
      <c r="F37" s="90" t="s">
        <v>494</v>
      </c>
      <c r="G37" s="91" t="s">
        <v>495</v>
      </c>
      <c r="H37" s="92">
        <v>4472834.33</v>
      </c>
      <c r="I37" s="92">
        <v>4472834.33</v>
      </c>
      <c r="J37" s="90" t="s">
        <v>496</v>
      </c>
      <c r="K37" s="93" t="s">
        <v>497</v>
      </c>
      <c r="L37" s="90"/>
      <c r="M37" s="89"/>
      <c r="N37" s="90"/>
      <c r="O37" s="89"/>
      <c r="P37" s="105" t="s">
        <v>498</v>
      </c>
      <c r="Q37" s="90"/>
      <c r="R37" s="94"/>
      <c r="S37" s="94"/>
      <c r="T37" s="94"/>
      <c r="U37" s="94"/>
      <c r="V37" s="95"/>
      <c r="W37" s="95"/>
      <c r="X37" s="96"/>
      <c r="Y37" s="96"/>
      <c r="Z37" s="96"/>
      <c r="AA37" s="96"/>
      <c r="AB37" s="96"/>
      <c r="AC37" s="96"/>
      <c r="AD37" s="96"/>
      <c r="AE37" s="96"/>
      <c r="AF37" s="96"/>
      <c r="AG37" s="96"/>
      <c r="AH37" s="96"/>
      <c r="AI37" s="96"/>
      <c r="AJ37" s="96"/>
      <c r="AK37" s="96"/>
      <c r="AL37" s="96"/>
      <c r="AM37" s="96"/>
      <c r="AN37" s="96"/>
      <c r="AO37" s="96"/>
      <c r="AP37" s="96"/>
      <c r="AQ37" s="96"/>
      <c r="AR37" s="96"/>
      <c r="AS37" s="96"/>
      <c r="AT37" s="96"/>
      <c r="AU37" s="96"/>
      <c r="AV37" s="96"/>
      <c r="AW37" s="96"/>
      <c r="AX37" s="96"/>
      <c r="AY37" s="96"/>
      <c r="AZ37" s="96"/>
      <c r="BA37" s="96"/>
      <c r="BB37" s="96"/>
      <c r="BC37" s="96"/>
      <c r="BD37" s="96"/>
      <c r="BE37" s="96"/>
      <c r="BF37" s="96"/>
      <c r="BG37" s="96"/>
      <c r="BH37" s="96"/>
      <c r="BI37" s="96"/>
      <c r="BJ37" s="96"/>
      <c r="BK37" s="96"/>
      <c r="BL37" s="96"/>
      <c r="BM37" s="96"/>
      <c r="BN37" s="96"/>
      <c r="BO37" s="96"/>
      <c r="BP37" s="96"/>
      <c r="BQ37" s="96"/>
      <c r="BR37" s="96"/>
      <c r="BS37" s="96"/>
      <c r="BT37" s="96"/>
      <c r="BU37" s="96"/>
      <c r="BV37" s="96"/>
      <c r="BW37" s="96"/>
      <c r="BX37" s="96"/>
      <c r="BY37" s="96"/>
      <c r="BZ37" s="96"/>
      <c r="CA37" s="96"/>
      <c r="CB37" s="96"/>
      <c r="CC37" s="96"/>
      <c r="CD37" s="96"/>
      <c r="CE37" s="96"/>
      <c r="CF37" s="96"/>
      <c r="CG37" s="96"/>
      <c r="CH37" s="96"/>
      <c r="CI37" s="96"/>
      <c r="CJ37" s="96"/>
      <c r="CK37" s="96"/>
      <c r="CL37" s="96"/>
      <c r="CM37" s="96"/>
      <c r="CN37" s="96"/>
      <c r="CO37" s="96"/>
      <c r="CP37" s="96"/>
      <c r="CQ37" s="96"/>
      <c r="CR37" s="96"/>
      <c r="CS37" s="96"/>
      <c r="CT37" s="96"/>
      <c r="CU37" s="96"/>
      <c r="CV37" s="96"/>
      <c r="CW37" s="96"/>
      <c r="CX37" s="96"/>
      <c r="CY37" s="96"/>
      <c r="CZ37" s="96"/>
      <c r="DA37" s="96"/>
      <c r="DB37" s="96"/>
      <c r="DC37" s="96"/>
      <c r="DD37" s="96"/>
      <c r="DE37" s="96"/>
      <c r="DF37" s="96"/>
      <c r="DG37" s="96"/>
      <c r="DH37" s="96"/>
      <c r="DI37" s="96"/>
      <c r="DJ37" s="96"/>
      <c r="DK37" s="96"/>
      <c r="DL37" s="96"/>
      <c r="DM37" s="96"/>
      <c r="DN37" s="96"/>
      <c r="DO37" s="96"/>
      <c r="DP37" s="96"/>
      <c r="DQ37" s="96"/>
      <c r="DR37" s="96"/>
      <c r="DS37" s="96"/>
      <c r="DT37" s="96"/>
      <c r="DU37" s="96"/>
      <c r="DV37" s="96"/>
      <c r="DW37" s="96"/>
      <c r="DX37" s="96"/>
      <c r="DY37" s="96"/>
      <c r="DZ37" s="96"/>
      <c r="EA37" s="96"/>
      <c r="EB37" s="96"/>
      <c r="EC37" s="96"/>
      <c r="ED37" s="96"/>
      <c r="EE37" s="96"/>
      <c r="EF37" s="96"/>
      <c r="EG37" s="96"/>
      <c r="EH37" s="96"/>
      <c r="EI37" s="96"/>
      <c r="EJ37" s="97"/>
      <c r="EK37" s="97"/>
      <c r="EL37" s="97"/>
      <c r="EM37" s="96"/>
      <c r="EN37" s="96"/>
      <c r="EO37" s="96"/>
      <c r="EP37" s="96"/>
      <c r="EQ37" s="95">
        <v>41225</v>
      </c>
      <c r="ER37" s="95">
        <v>41345</v>
      </c>
      <c r="ES37" s="90"/>
      <c r="ET37" s="90"/>
      <c r="EU37" s="90"/>
      <c r="EV37" s="90"/>
      <c r="EW37" s="90"/>
      <c r="EX37" s="98">
        <v>45</v>
      </c>
      <c r="EY37" s="99"/>
      <c r="EZ37" s="99"/>
      <c r="FA37" s="100"/>
      <c r="FB37" s="101" t="s">
        <v>499</v>
      </c>
      <c r="FC37" s="89" t="s">
        <v>500</v>
      </c>
      <c r="FD37" s="87"/>
      <c r="FE37" s="87" t="s">
        <v>375</v>
      </c>
      <c r="FF37" s="107" t="s">
        <v>146</v>
      </c>
      <c r="FG37" s="108">
        <v>12368</v>
      </c>
      <c r="FH37" s="109" t="s">
        <v>501</v>
      </c>
    </row>
    <row r="38" spans="1:164" ht="50.1" customHeight="1">
      <c r="A38" s="87" t="e">
        <f t="shared" si="3"/>
        <v>#REF!</v>
      </c>
      <c r="B38" s="56"/>
      <c r="C38" s="56"/>
      <c r="D38" s="88"/>
      <c r="E38" s="89">
        <v>90603</v>
      </c>
      <c r="F38" s="90" t="s">
        <v>502</v>
      </c>
      <c r="G38" s="91" t="s">
        <v>503</v>
      </c>
      <c r="H38" s="92">
        <v>6900000</v>
      </c>
      <c r="I38" s="92">
        <v>6717777.4299999997</v>
      </c>
      <c r="J38" s="90" t="s">
        <v>504</v>
      </c>
      <c r="K38" s="93" t="s">
        <v>505</v>
      </c>
      <c r="L38" s="90"/>
      <c r="M38" s="89"/>
      <c r="N38" s="90"/>
      <c r="O38" s="89"/>
      <c r="P38" s="105" t="s">
        <v>506</v>
      </c>
      <c r="Q38" s="90"/>
      <c r="R38" s="94"/>
      <c r="S38" s="94"/>
      <c r="T38" s="94"/>
      <c r="U38" s="94"/>
      <c r="V38" s="95"/>
      <c r="W38" s="95"/>
      <c r="X38" s="96"/>
      <c r="Y38" s="96"/>
      <c r="Z38" s="96"/>
      <c r="AA38" s="96"/>
      <c r="AB38" s="96"/>
      <c r="AC38" s="96"/>
      <c r="AD38" s="96"/>
      <c r="AE38" s="96"/>
      <c r="AF38" s="96"/>
      <c r="AG38" s="96"/>
      <c r="AH38" s="96"/>
      <c r="AI38" s="96"/>
      <c r="AJ38" s="96"/>
      <c r="AK38" s="96"/>
      <c r="AL38" s="96"/>
      <c r="AM38" s="96"/>
      <c r="AN38" s="96"/>
      <c r="AO38" s="96"/>
      <c r="AP38" s="96"/>
      <c r="AQ38" s="96"/>
      <c r="AR38" s="96"/>
      <c r="AS38" s="96"/>
      <c r="AT38" s="96"/>
      <c r="AU38" s="96"/>
      <c r="AV38" s="96"/>
      <c r="AW38" s="96"/>
      <c r="AX38" s="96"/>
      <c r="AY38" s="96"/>
      <c r="AZ38" s="96"/>
      <c r="BA38" s="96"/>
      <c r="BB38" s="96"/>
      <c r="BC38" s="96"/>
      <c r="BD38" s="96"/>
      <c r="BE38" s="96"/>
      <c r="BF38" s="96"/>
      <c r="BG38" s="96"/>
      <c r="BH38" s="96"/>
      <c r="BI38" s="96"/>
      <c r="BJ38" s="96"/>
      <c r="BK38" s="96"/>
      <c r="BL38" s="96"/>
      <c r="BM38" s="96"/>
      <c r="BN38" s="96"/>
      <c r="BO38" s="96"/>
      <c r="BP38" s="96"/>
      <c r="BQ38" s="96"/>
      <c r="BR38" s="96"/>
      <c r="BS38" s="96"/>
      <c r="BT38" s="96"/>
      <c r="BU38" s="96"/>
      <c r="BV38" s="96"/>
      <c r="BW38" s="96"/>
      <c r="BX38" s="96"/>
      <c r="BY38" s="96"/>
      <c r="BZ38" s="96"/>
      <c r="CA38" s="96"/>
      <c r="CB38" s="96"/>
      <c r="CC38" s="96"/>
      <c r="CD38" s="96"/>
      <c r="CE38" s="96"/>
      <c r="CF38" s="96"/>
      <c r="CG38" s="96"/>
      <c r="CH38" s="96"/>
      <c r="CI38" s="96"/>
      <c r="CJ38" s="96"/>
      <c r="CK38" s="96"/>
      <c r="CL38" s="96"/>
      <c r="CM38" s="96"/>
      <c r="CN38" s="96"/>
      <c r="CO38" s="96"/>
      <c r="CP38" s="96"/>
      <c r="CQ38" s="96"/>
      <c r="CR38" s="96"/>
      <c r="CS38" s="96"/>
      <c r="CT38" s="96"/>
      <c r="CU38" s="96"/>
      <c r="CV38" s="96"/>
      <c r="CW38" s="96"/>
      <c r="CX38" s="96"/>
      <c r="CY38" s="96"/>
      <c r="CZ38" s="96"/>
      <c r="DA38" s="96"/>
      <c r="DB38" s="96"/>
      <c r="DC38" s="96"/>
      <c r="DD38" s="96"/>
      <c r="DE38" s="96"/>
      <c r="DF38" s="96"/>
      <c r="DG38" s="96"/>
      <c r="DH38" s="96"/>
      <c r="DI38" s="96"/>
      <c r="DJ38" s="96"/>
      <c r="DK38" s="96"/>
      <c r="DL38" s="96"/>
      <c r="DM38" s="96"/>
      <c r="DN38" s="96"/>
      <c r="DO38" s="96"/>
      <c r="DP38" s="96"/>
      <c r="DQ38" s="96"/>
      <c r="DR38" s="96"/>
      <c r="DS38" s="96"/>
      <c r="DT38" s="96"/>
      <c r="DU38" s="96"/>
      <c r="DV38" s="96"/>
      <c r="DW38" s="96"/>
      <c r="DX38" s="96"/>
      <c r="DY38" s="96"/>
      <c r="DZ38" s="96"/>
      <c r="EA38" s="96"/>
      <c r="EB38" s="96"/>
      <c r="EC38" s="96"/>
      <c r="ED38" s="96"/>
      <c r="EE38" s="96"/>
      <c r="EF38" s="96"/>
      <c r="EG38" s="96"/>
      <c r="EH38" s="96"/>
      <c r="EI38" s="96"/>
      <c r="EJ38" s="97"/>
      <c r="EK38" s="97"/>
      <c r="EL38" s="97"/>
      <c r="EM38" s="96"/>
      <c r="EN38" s="96"/>
      <c r="EO38" s="96"/>
      <c r="EP38" s="96"/>
      <c r="EQ38" s="95">
        <v>41631</v>
      </c>
      <c r="ER38" s="95">
        <v>41972</v>
      </c>
      <c r="ES38" s="90"/>
      <c r="ET38" s="90"/>
      <c r="EU38" s="90"/>
      <c r="EV38" s="90"/>
      <c r="EW38" s="90"/>
      <c r="EX38" s="98">
        <v>80</v>
      </c>
      <c r="EY38" s="99"/>
      <c r="EZ38" s="99"/>
      <c r="FA38" s="100"/>
      <c r="FB38" s="101" t="s">
        <v>499</v>
      </c>
      <c r="FC38" s="89" t="s">
        <v>492</v>
      </c>
      <c r="FD38" s="87"/>
      <c r="FE38" s="87" t="s">
        <v>328</v>
      </c>
      <c r="FF38" s="107" t="s">
        <v>146</v>
      </c>
      <c r="FG38" s="108">
        <v>1384</v>
      </c>
      <c r="FH38" s="109" t="s">
        <v>507</v>
      </c>
    </row>
    <row r="39" spans="1:164" ht="50.1" customHeight="1">
      <c r="A39" s="87" t="e">
        <f t="shared" si="3"/>
        <v>#REF!</v>
      </c>
      <c r="B39" s="56"/>
      <c r="C39" s="56"/>
      <c r="D39" s="88"/>
      <c r="E39" s="89">
        <v>91256</v>
      </c>
      <c r="F39" s="90" t="s">
        <v>508</v>
      </c>
      <c r="G39" s="91" t="s">
        <v>509</v>
      </c>
      <c r="H39" s="92">
        <v>400000</v>
      </c>
      <c r="I39" s="92">
        <v>0</v>
      </c>
      <c r="J39" s="90" t="s">
        <v>504</v>
      </c>
      <c r="K39" s="93" t="s">
        <v>320</v>
      </c>
      <c r="L39" s="90"/>
      <c r="M39" s="89"/>
      <c r="N39" s="90"/>
      <c r="O39" s="89"/>
      <c r="P39" s="105" t="s">
        <v>320</v>
      </c>
      <c r="Q39" s="90"/>
      <c r="R39" s="94"/>
      <c r="S39" s="94"/>
      <c r="T39" s="94"/>
      <c r="U39" s="94"/>
      <c r="V39" s="95"/>
      <c r="W39" s="95"/>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c r="DT39" s="96"/>
      <c r="DU39" s="96"/>
      <c r="DV39" s="96"/>
      <c r="DW39" s="96"/>
      <c r="DX39" s="96"/>
      <c r="DY39" s="96"/>
      <c r="DZ39" s="96"/>
      <c r="EA39" s="96"/>
      <c r="EB39" s="96"/>
      <c r="EC39" s="96"/>
      <c r="ED39" s="96"/>
      <c r="EE39" s="96"/>
      <c r="EF39" s="96"/>
      <c r="EG39" s="96"/>
      <c r="EH39" s="96"/>
      <c r="EI39" s="96"/>
      <c r="EJ39" s="97"/>
      <c r="EK39" s="97"/>
      <c r="EL39" s="97"/>
      <c r="EM39" s="96"/>
      <c r="EN39" s="96"/>
      <c r="EO39" s="96"/>
      <c r="EP39" s="96"/>
      <c r="EQ39" s="95">
        <v>40945</v>
      </c>
      <c r="ER39" s="95">
        <v>43100</v>
      </c>
      <c r="ES39" s="90"/>
      <c r="ET39" s="90"/>
      <c r="EU39" s="90"/>
      <c r="EV39" s="90"/>
      <c r="EW39" s="90"/>
      <c r="EX39" s="98">
        <v>0</v>
      </c>
      <c r="EY39" s="99"/>
      <c r="EZ39" s="99"/>
      <c r="FA39" s="100"/>
      <c r="FB39" s="101" t="s">
        <v>499</v>
      </c>
      <c r="FC39" s="89" t="s">
        <v>510</v>
      </c>
      <c r="FD39" s="87"/>
      <c r="FE39" s="87" t="s">
        <v>328</v>
      </c>
      <c r="FF39" s="107" t="s">
        <v>169</v>
      </c>
      <c r="FG39" s="108">
        <v>591</v>
      </c>
      <c r="FH39" s="109" t="s">
        <v>511</v>
      </c>
    </row>
    <row r="40" spans="1:164" ht="50.1" customHeight="1">
      <c r="A40" s="87" t="e">
        <f t="shared" si="3"/>
        <v>#REF!</v>
      </c>
      <c r="B40" s="56"/>
      <c r="C40" s="56"/>
      <c r="D40" s="88"/>
      <c r="E40" s="89">
        <v>88408</v>
      </c>
      <c r="F40" s="90" t="s">
        <v>512</v>
      </c>
      <c r="G40" s="91" t="s">
        <v>513</v>
      </c>
      <c r="H40" s="92">
        <v>21684762.289999999</v>
      </c>
      <c r="I40" s="92">
        <v>21684762.289999999</v>
      </c>
      <c r="J40" s="90" t="s">
        <v>514</v>
      </c>
      <c r="K40" s="93" t="s">
        <v>515</v>
      </c>
      <c r="L40" s="90"/>
      <c r="M40" s="89"/>
      <c r="N40" s="90"/>
      <c r="O40" s="89"/>
      <c r="P40" s="105" t="s">
        <v>516</v>
      </c>
      <c r="Q40" s="90"/>
      <c r="R40" s="94"/>
      <c r="S40" s="94"/>
      <c r="T40" s="94"/>
      <c r="U40" s="94"/>
      <c r="V40" s="95"/>
      <c r="W40" s="95"/>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c r="DT40" s="96"/>
      <c r="DU40" s="96"/>
      <c r="DV40" s="96"/>
      <c r="DW40" s="96"/>
      <c r="DX40" s="96"/>
      <c r="DY40" s="96"/>
      <c r="DZ40" s="96"/>
      <c r="EA40" s="96"/>
      <c r="EB40" s="96"/>
      <c r="EC40" s="96"/>
      <c r="ED40" s="96"/>
      <c r="EE40" s="96"/>
      <c r="EF40" s="96"/>
      <c r="EG40" s="96"/>
      <c r="EH40" s="96"/>
      <c r="EI40" s="96"/>
      <c r="EJ40" s="97"/>
      <c r="EK40" s="97"/>
      <c r="EL40" s="97"/>
      <c r="EM40" s="96"/>
      <c r="EN40" s="96"/>
      <c r="EO40" s="96"/>
      <c r="EP40" s="96"/>
      <c r="EQ40" s="95">
        <v>42215</v>
      </c>
      <c r="ER40" s="95">
        <v>43281</v>
      </c>
      <c r="ES40" s="90"/>
      <c r="ET40" s="90"/>
      <c r="EU40" s="90"/>
      <c r="EV40" s="90"/>
      <c r="EW40" s="90"/>
      <c r="EX40" s="98">
        <v>100</v>
      </c>
      <c r="EY40" s="99"/>
      <c r="EZ40" s="99"/>
      <c r="FA40" s="100"/>
      <c r="FB40" s="101" t="s">
        <v>499</v>
      </c>
      <c r="FC40" s="89" t="s">
        <v>517</v>
      </c>
      <c r="FD40" s="87"/>
      <c r="FE40" s="87" t="s">
        <v>375</v>
      </c>
      <c r="FF40" s="107" t="s">
        <v>169</v>
      </c>
      <c r="FG40" s="108">
        <v>31430</v>
      </c>
      <c r="FH40" s="109" t="s">
        <v>518</v>
      </c>
    </row>
    <row r="41" spans="1:164" ht="50.1" customHeight="1">
      <c r="A41" s="87" t="e">
        <f t="shared" si="3"/>
        <v>#REF!</v>
      </c>
      <c r="B41" s="56"/>
      <c r="C41" s="56"/>
      <c r="D41" s="88"/>
      <c r="E41" s="89">
        <v>96122</v>
      </c>
      <c r="F41" s="90" t="s">
        <v>519</v>
      </c>
      <c r="G41" s="91" t="s">
        <v>520</v>
      </c>
      <c r="H41" s="92">
        <v>6004967.8499999996</v>
      </c>
      <c r="I41" s="92">
        <v>6004967.8500000006</v>
      </c>
      <c r="J41" s="90" t="s">
        <v>385</v>
      </c>
      <c r="K41" s="93" t="s">
        <v>521</v>
      </c>
      <c r="L41" s="90"/>
      <c r="M41" s="89"/>
      <c r="N41" s="90"/>
      <c r="O41" s="89"/>
      <c r="P41" s="105" t="s">
        <v>522</v>
      </c>
      <c r="Q41" s="90"/>
      <c r="R41" s="94"/>
      <c r="S41" s="94"/>
      <c r="T41" s="94"/>
      <c r="U41" s="94"/>
      <c r="V41" s="95"/>
      <c r="W41" s="95"/>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c r="DT41" s="96"/>
      <c r="DU41" s="96"/>
      <c r="DV41" s="96"/>
      <c r="DW41" s="96"/>
      <c r="DX41" s="96"/>
      <c r="DY41" s="96"/>
      <c r="DZ41" s="96"/>
      <c r="EA41" s="96"/>
      <c r="EB41" s="96"/>
      <c r="EC41" s="96"/>
      <c r="ED41" s="96"/>
      <c r="EE41" s="96"/>
      <c r="EF41" s="96"/>
      <c r="EG41" s="96"/>
      <c r="EH41" s="96"/>
      <c r="EI41" s="96"/>
      <c r="EJ41" s="97"/>
      <c r="EK41" s="97"/>
      <c r="EL41" s="97"/>
      <c r="EM41" s="96"/>
      <c r="EN41" s="96"/>
      <c r="EO41" s="96"/>
      <c r="EP41" s="96"/>
      <c r="EQ41" s="95">
        <v>42970</v>
      </c>
      <c r="ER41" s="95">
        <v>43120</v>
      </c>
      <c r="ES41" s="90"/>
      <c r="ET41" s="90"/>
      <c r="EU41" s="90"/>
      <c r="EV41" s="90"/>
      <c r="EW41" s="90"/>
      <c r="EX41" s="98">
        <v>87</v>
      </c>
      <c r="EY41" s="99"/>
      <c r="EZ41" s="99"/>
      <c r="FA41" s="100"/>
      <c r="FB41" s="101" t="s">
        <v>499</v>
      </c>
      <c r="FC41" s="89" t="s">
        <v>523</v>
      </c>
      <c r="FD41" s="87"/>
      <c r="FE41" s="87" t="s">
        <v>328</v>
      </c>
      <c r="FF41" s="107" t="s">
        <v>169</v>
      </c>
      <c r="FG41" s="108">
        <v>1939</v>
      </c>
      <c r="FH41" s="109" t="s">
        <v>524</v>
      </c>
    </row>
    <row r="42" spans="1:164" ht="50.1" customHeight="1">
      <c r="A42" s="87" t="e">
        <f t="shared" si="3"/>
        <v>#REF!</v>
      </c>
      <c r="B42" s="56"/>
      <c r="C42" s="56"/>
      <c r="D42" s="88"/>
      <c r="E42" s="89">
        <v>96451</v>
      </c>
      <c r="F42" s="90" t="s">
        <v>525</v>
      </c>
      <c r="G42" s="91" t="s">
        <v>526</v>
      </c>
      <c r="H42" s="92">
        <v>1905165.34</v>
      </c>
      <c r="I42" s="92">
        <v>1905165.34</v>
      </c>
      <c r="J42" s="90" t="s">
        <v>385</v>
      </c>
      <c r="K42" s="93" t="s">
        <v>527</v>
      </c>
      <c r="L42" s="90"/>
      <c r="M42" s="89"/>
      <c r="N42" s="90"/>
      <c r="O42" s="89"/>
      <c r="P42" s="105" t="s">
        <v>528</v>
      </c>
      <c r="Q42" s="90"/>
      <c r="R42" s="94"/>
      <c r="S42" s="94"/>
      <c r="T42" s="94"/>
      <c r="U42" s="94"/>
      <c r="V42" s="95"/>
      <c r="W42" s="95"/>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c r="BG42" s="96"/>
      <c r="BH42" s="96"/>
      <c r="BI42" s="96"/>
      <c r="BJ42" s="96"/>
      <c r="BK42" s="96"/>
      <c r="BL42" s="96"/>
      <c r="BM42" s="96"/>
      <c r="BN42" s="96"/>
      <c r="BO42" s="96"/>
      <c r="BP42" s="96"/>
      <c r="BQ42" s="96"/>
      <c r="BR42" s="96"/>
      <c r="BS42" s="96"/>
      <c r="BT42" s="96"/>
      <c r="BU42" s="96"/>
      <c r="BV42" s="96"/>
      <c r="BW42" s="96"/>
      <c r="BX42" s="96"/>
      <c r="BY42" s="96"/>
      <c r="BZ42" s="96"/>
      <c r="CA42" s="96"/>
      <c r="CB42" s="96"/>
      <c r="CC42" s="96"/>
      <c r="CD42" s="96"/>
      <c r="CE42" s="96"/>
      <c r="CF42" s="96"/>
      <c r="CG42" s="96"/>
      <c r="CH42" s="96"/>
      <c r="CI42" s="96"/>
      <c r="CJ42" s="96"/>
      <c r="CK42" s="96"/>
      <c r="CL42" s="96"/>
      <c r="CM42" s="96"/>
      <c r="CN42" s="96"/>
      <c r="CO42" s="96"/>
      <c r="CP42" s="96"/>
      <c r="CQ42" s="96"/>
      <c r="CR42" s="96"/>
      <c r="CS42" s="96"/>
      <c r="CT42" s="96"/>
      <c r="CU42" s="96"/>
      <c r="CV42" s="96"/>
      <c r="CW42" s="96"/>
      <c r="CX42" s="96"/>
      <c r="CY42" s="96"/>
      <c r="CZ42" s="96"/>
      <c r="DA42" s="96"/>
      <c r="DB42" s="96"/>
      <c r="DC42" s="96"/>
      <c r="DD42" s="96"/>
      <c r="DE42" s="96"/>
      <c r="DF42" s="96"/>
      <c r="DG42" s="96"/>
      <c r="DH42" s="96"/>
      <c r="DI42" s="96"/>
      <c r="DJ42" s="96"/>
      <c r="DK42" s="96"/>
      <c r="DL42" s="96"/>
      <c r="DM42" s="96"/>
      <c r="DN42" s="96"/>
      <c r="DO42" s="96"/>
      <c r="DP42" s="96"/>
      <c r="DQ42" s="96"/>
      <c r="DR42" s="96"/>
      <c r="DS42" s="96"/>
      <c r="DT42" s="96"/>
      <c r="DU42" s="96"/>
      <c r="DV42" s="96"/>
      <c r="DW42" s="96"/>
      <c r="DX42" s="96"/>
      <c r="DY42" s="96"/>
      <c r="DZ42" s="96"/>
      <c r="EA42" s="96"/>
      <c r="EB42" s="96"/>
      <c r="EC42" s="96"/>
      <c r="ED42" s="96"/>
      <c r="EE42" s="96"/>
      <c r="EF42" s="96"/>
      <c r="EG42" s="96"/>
      <c r="EH42" s="96"/>
      <c r="EI42" s="96"/>
      <c r="EJ42" s="97"/>
      <c r="EK42" s="97"/>
      <c r="EL42" s="97"/>
      <c r="EM42" s="96"/>
      <c r="EN42" s="96"/>
      <c r="EO42" s="96"/>
      <c r="EP42" s="96"/>
      <c r="EQ42" s="95">
        <v>42086</v>
      </c>
      <c r="ER42" s="95">
        <v>42265</v>
      </c>
      <c r="ES42" s="90"/>
      <c r="ET42" s="90"/>
      <c r="EU42" s="90"/>
      <c r="EV42" s="90"/>
      <c r="EW42" s="90"/>
      <c r="EX42" s="98">
        <v>70</v>
      </c>
      <c r="EY42" s="99"/>
      <c r="EZ42" s="99"/>
      <c r="FA42" s="100"/>
      <c r="FB42" s="101" t="s">
        <v>499</v>
      </c>
      <c r="FC42" s="89" t="s">
        <v>529</v>
      </c>
      <c r="FD42" s="87"/>
      <c r="FE42" s="87" t="s">
        <v>328</v>
      </c>
      <c r="FF42" s="107" t="s">
        <v>146</v>
      </c>
      <c r="FG42" s="108">
        <v>426</v>
      </c>
      <c r="FH42" s="109" t="s">
        <v>530</v>
      </c>
    </row>
    <row r="43" spans="1:164" ht="50.1" customHeight="1">
      <c r="A43" s="87" t="e">
        <f t="shared" si="3"/>
        <v>#REF!</v>
      </c>
      <c r="B43" s="56"/>
      <c r="C43" s="56"/>
      <c r="D43" s="88"/>
      <c r="E43" s="89">
        <v>100134</v>
      </c>
      <c r="F43" s="90" t="s">
        <v>531</v>
      </c>
      <c r="G43" s="91" t="s">
        <v>532</v>
      </c>
      <c r="H43" s="92">
        <v>5500000</v>
      </c>
      <c r="I43" s="92">
        <v>5499999.9900000002</v>
      </c>
      <c r="J43" s="90" t="s">
        <v>385</v>
      </c>
      <c r="K43" s="93" t="s">
        <v>533</v>
      </c>
      <c r="L43" s="90"/>
      <c r="M43" s="89"/>
      <c r="N43" s="90"/>
      <c r="O43" s="89"/>
      <c r="P43" s="105" t="s">
        <v>534</v>
      </c>
      <c r="Q43" s="90"/>
      <c r="R43" s="94"/>
      <c r="S43" s="94"/>
      <c r="T43" s="94"/>
      <c r="U43" s="94"/>
      <c r="V43" s="95"/>
      <c r="W43" s="95"/>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c r="BG43" s="96"/>
      <c r="BH43" s="96"/>
      <c r="BI43" s="96"/>
      <c r="BJ43" s="96"/>
      <c r="BK43" s="96"/>
      <c r="BL43" s="96"/>
      <c r="BM43" s="96"/>
      <c r="BN43" s="96"/>
      <c r="BO43" s="96"/>
      <c r="BP43" s="96"/>
      <c r="BQ43" s="96"/>
      <c r="BR43" s="96"/>
      <c r="BS43" s="96"/>
      <c r="BT43" s="96"/>
      <c r="BU43" s="96"/>
      <c r="BV43" s="96"/>
      <c r="BW43" s="96"/>
      <c r="BX43" s="96"/>
      <c r="BY43" s="96"/>
      <c r="BZ43" s="96"/>
      <c r="CA43" s="96"/>
      <c r="CB43" s="96"/>
      <c r="CC43" s="96"/>
      <c r="CD43" s="96"/>
      <c r="CE43" s="96"/>
      <c r="CF43" s="96"/>
      <c r="CG43" s="96"/>
      <c r="CH43" s="96"/>
      <c r="CI43" s="96"/>
      <c r="CJ43" s="96"/>
      <c r="CK43" s="96"/>
      <c r="CL43" s="96"/>
      <c r="CM43" s="96"/>
      <c r="CN43" s="96"/>
      <c r="CO43" s="96"/>
      <c r="CP43" s="96"/>
      <c r="CQ43" s="96"/>
      <c r="CR43" s="96"/>
      <c r="CS43" s="96"/>
      <c r="CT43" s="96"/>
      <c r="CU43" s="96"/>
      <c r="CV43" s="96"/>
      <c r="CW43" s="96"/>
      <c r="CX43" s="96"/>
      <c r="CY43" s="96"/>
      <c r="CZ43" s="96"/>
      <c r="DA43" s="96"/>
      <c r="DB43" s="96"/>
      <c r="DC43" s="96"/>
      <c r="DD43" s="96"/>
      <c r="DE43" s="96"/>
      <c r="DF43" s="96"/>
      <c r="DG43" s="96"/>
      <c r="DH43" s="96"/>
      <c r="DI43" s="96"/>
      <c r="DJ43" s="96"/>
      <c r="DK43" s="96"/>
      <c r="DL43" s="96"/>
      <c r="DM43" s="96"/>
      <c r="DN43" s="96"/>
      <c r="DO43" s="96"/>
      <c r="DP43" s="96"/>
      <c r="DQ43" s="96"/>
      <c r="DR43" s="96"/>
      <c r="DS43" s="96"/>
      <c r="DT43" s="96"/>
      <c r="DU43" s="96"/>
      <c r="DV43" s="96"/>
      <c r="DW43" s="96"/>
      <c r="DX43" s="96"/>
      <c r="DY43" s="96"/>
      <c r="DZ43" s="96"/>
      <c r="EA43" s="96"/>
      <c r="EB43" s="96"/>
      <c r="EC43" s="96"/>
      <c r="ED43" s="96"/>
      <c r="EE43" s="96"/>
      <c r="EF43" s="96"/>
      <c r="EG43" s="96"/>
      <c r="EH43" s="96"/>
      <c r="EI43" s="96"/>
      <c r="EJ43" s="97"/>
      <c r="EK43" s="97"/>
      <c r="EL43" s="97"/>
      <c r="EM43" s="96"/>
      <c r="EN43" s="96"/>
      <c r="EO43" s="96"/>
      <c r="EP43" s="96"/>
      <c r="EQ43" s="95">
        <v>42226</v>
      </c>
      <c r="ER43" s="95">
        <v>42886</v>
      </c>
      <c r="ES43" s="90"/>
      <c r="ET43" s="90"/>
      <c r="EU43" s="90"/>
      <c r="EV43" s="90"/>
      <c r="EW43" s="90"/>
      <c r="EX43" s="98">
        <v>100</v>
      </c>
      <c r="EY43" s="99"/>
      <c r="EZ43" s="99"/>
      <c r="FA43" s="100"/>
      <c r="FB43" s="101" t="s">
        <v>499</v>
      </c>
      <c r="FC43" s="89" t="s">
        <v>535</v>
      </c>
      <c r="FD43" s="87"/>
      <c r="FE43" s="87" t="s">
        <v>375</v>
      </c>
      <c r="FF43" s="107" t="s">
        <v>146</v>
      </c>
      <c r="FG43" s="108">
        <v>5937</v>
      </c>
      <c r="FH43" s="109" t="s">
        <v>536</v>
      </c>
    </row>
    <row r="44" spans="1:164" ht="50.1" customHeight="1">
      <c r="A44" s="87" t="e">
        <f t="shared" si="3"/>
        <v>#REF!</v>
      </c>
      <c r="B44" s="56"/>
      <c r="C44" s="56"/>
      <c r="D44" s="88"/>
      <c r="E44" s="89">
        <v>100137</v>
      </c>
      <c r="F44" s="90" t="s">
        <v>537</v>
      </c>
      <c r="G44" s="91" t="s">
        <v>538</v>
      </c>
      <c r="H44" s="92">
        <v>1500000</v>
      </c>
      <c r="I44" s="92">
        <v>0</v>
      </c>
      <c r="J44" s="90" t="s">
        <v>385</v>
      </c>
      <c r="K44" s="93" t="s">
        <v>539</v>
      </c>
      <c r="L44" s="90"/>
      <c r="M44" s="89"/>
      <c r="N44" s="90"/>
      <c r="O44" s="89"/>
      <c r="P44" s="105" t="s">
        <v>540</v>
      </c>
      <c r="Q44" s="90"/>
      <c r="R44" s="94"/>
      <c r="S44" s="94"/>
      <c r="T44" s="94"/>
      <c r="U44" s="94"/>
      <c r="V44" s="95"/>
      <c r="W44" s="95"/>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c r="BM44" s="96"/>
      <c r="BN44" s="96"/>
      <c r="BO44" s="96"/>
      <c r="BP44" s="96"/>
      <c r="BQ44" s="96"/>
      <c r="BR44" s="96"/>
      <c r="BS44" s="96"/>
      <c r="BT44" s="96"/>
      <c r="BU44" s="96"/>
      <c r="BV44" s="96"/>
      <c r="BW44" s="96"/>
      <c r="BX44" s="96"/>
      <c r="BY44" s="96"/>
      <c r="BZ44" s="96"/>
      <c r="CA44" s="96"/>
      <c r="CB44" s="96"/>
      <c r="CC44" s="96"/>
      <c r="CD44" s="96"/>
      <c r="CE44" s="96"/>
      <c r="CF44" s="96"/>
      <c r="CG44" s="96"/>
      <c r="CH44" s="96"/>
      <c r="CI44" s="96"/>
      <c r="CJ44" s="96"/>
      <c r="CK44" s="96"/>
      <c r="CL44" s="96"/>
      <c r="CM44" s="96"/>
      <c r="CN44" s="96"/>
      <c r="CO44" s="96"/>
      <c r="CP44" s="96"/>
      <c r="CQ44" s="96"/>
      <c r="CR44" s="96"/>
      <c r="CS44" s="96"/>
      <c r="CT44" s="96"/>
      <c r="CU44" s="96"/>
      <c r="CV44" s="96"/>
      <c r="CW44" s="96"/>
      <c r="CX44" s="96"/>
      <c r="CY44" s="96"/>
      <c r="CZ44" s="96"/>
      <c r="DA44" s="96"/>
      <c r="DB44" s="96"/>
      <c r="DC44" s="96"/>
      <c r="DD44" s="96"/>
      <c r="DE44" s="96"/>
      <c r="DF44" s="96"/>
      <c r="DG44" s="96"/>
      <c r="DH44" s="96"/>
      <c r="DI44" s="96"/>
      <c r="DJ44" s="96"/>
      <c r="DK44" s="96"/>
      <c r="DL44" s="96"/>
      <c r="DM44" s="96"/>
      <c r="DN44" s="96"/>
      <c r="DO44" s="96"/>
      <c r="DP44" s="96"/>
      <c r="DQ44" s="96"/>
      <c r="DR44" s="96"/>
      <c r="DS44" s="96"/>
      <c r="DT44" s="96"/>
      <c r="DU44" s="96"/>
      <c r="DV44" s="96"/>
      <c r="DW44" s="96"/>
      <c r="DX44" s="96"/>
      <c r="DY44" s="96"/>
      <c r="DZ44" s="96"/>
      <c r="EA44" s="96"/>
      <c r="EB44" s="96"/>
      <c r="EC44" s="96"/>
      <c r="ED44" s="96"/>
      <c r="EE44" s="96"/>
      <c r="EF44" s="96"/>
      <c r="EG44" s="96"/>
      <c r="EH44" s="96"/>
      <c r="EI44" s="96"/>
      <c r="EJ44" s="97"/>
      <c r="EK44" s="97"/>
      <c r="EL44" s="97"/>
      <c r="EM44" s="96"/>
      <c r="EN44" s="96"/>
      <c r="EO44" s="96"/>
      <c r="EP44" s="96"/>
      <c r="EQ44" s="95">
        <v>42226</v>
      </c>
      <c r="ER44" s="95">
        <v>42411</v>
      </c>
      <c r="ES44" s="90"/>
      <c r="ET44" s="90"/>
      <c r="EU44" s="90"/>
      <c r="EV44" s="90"/>
      <c r="EW44" s="90"/>
      <c r="EX44" s="98">
        <v>92</v>
      </c>
      <c r="EY44" s="99"/>
      <c r="EZ44" s="99"/>
      <c r="FA44" s="100"/>
      <c r="FB44" s="101" t="s">
        <v>499</v>
      </c>
      <c r="FC44" s="89" t="s">
        <v>500</v>
      </c>
      <c r="FD44" s="87"/>
      <c r="FE44" s="87" t="s">
        <v>375</v>
      </c>
      <c r="FF44" s="107" t="s">
        <v>146</v>
      </c>
      <c r="FG44" s="108">
        <v>3843</v>
      </c>
      <c r="FH44" s="109" t="s">
        <v>541</v>
      </c>
    </row>
    <row r="45" spans="1:164" ht="50.1" customHeight="1">
      <c r="A45" s="87" t="e">
        <f t="shared" si="3"/>
        <v>#REF!</v>
      </c>
      <c r="B45" s="56"/>
      <c r="C45" s="56"/>
      <c r="D45" s="88"/>
      <c r="E45" s="89">
        <v>94370</v>
      </c>
      <c r="F45" s="90" t="s">
        <v>542</v>
      </c>
      <c r="G45" s="91" t="s">
        <v>543</v>
      </c>
      <c r="H45" s="92">
        <v>900000</v>
      </c>
      <c r="I45" s="92">
        <v>900000</v>
      </c>
      <c r="J45" s="90" t="s">
        <v>385</v>
      </c>
      <c r="K45" s="93" t="s">
        <v>539</v>
      </c>
      <c r="L45" s="90"/>
      <c r="M45" s="89"/>
      <c r="N45" s="90"/>
      <c r="O45" s="89"/>
      <c r="P45" s="105" t="s">
        <v>544</v>
      </c>
      <c r="Q45" s="90"/>
      <c r="R45" s="94"/>
      <c r="S45" s="94"/>
      <c r="T45" s="94"/>
      <c r="U45" s="94"/>
      <c r="V45" s="95"/>
      <c r="W45" s="95"/>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c r="DT45" s="96"/>
      <c r="DU45" s="96"/>
      <c r="DV45" s="96"/>
      <c r="DW45" s="96"/>
      <c r="DX45" s="96"/>
      <c r="DY45" s="96"/>
      <c r="DZ45" s="96"/>
      <c r="EA45" s="96"/>
      <c r="EB45" s="96"/>
      <c r="EC45" s="96"/>
      <c r="ED45" s="96"/>
      <c r="EE45" s="96"/>
      <c r="EF45" s="96"/>
      <c r="EG45" s="96"/>
      <c r="EH45" s="96"/>
      <c r="EI45" s="96"/>
      <c r="EJ45" s="97"/>
      <c r="EK45" s="97"/>
      <c r="EL45" s="97"/>
      <c r="EM45" s="96"/>
      <c r="EN45" s="96"/>
      <c r="EO45" s="96"/>
      <c r="EP45" s="96"/>
      <c r="EQ45" s="95">
        <v>41852</v>
      </c>
      <c r="ER45" s="95">
        <v>41971</v>
      </c>
      <c r="ES45" s="90"/>
      <c r="ET45" s="90"/>
      <c r="EU45" s="90"/>
      <c r="EV45" s="90"/>
      <c r="EW45" s="90"/>
      <c r="EX45" s="98">
        <v>100</v>
      </c>
      <c r="EY45" s="99"/>
      <c r="EZ45" s="99"/>
      <c r="FA45" s="100"/>
      <c r="FB45" s="101" t="s">
        <v>499</v>
      </c>
      <c r="FC45" s="89" t="s">
        <v>535</v>
      </c>
      <c r="FD45" s="87"/>
      <c r="FE45" s="87" t="s">
        <v>375</v>
      </c>
      <c r="FF45" s="107" t="s">
        <v>169</v>
      </c>
      <c r="FG45" s="108">
        <v>26015</v>
      </c>
      <c r="FH45" s="109" t="s">
        <v>545</v>
      </c>
    </row>
    <row r="46" spans="1:164" ht="50.1" customHeight="1">
      <c r="A46" s="87" t="e">
        <f t="shared" si="3"/>
        <v>#REF!</v>
      </c>
      <c r="B46" s="56"/>
      <c r="C46" s="56"/>
      <c r="D46" s="88"/>
      <c r="E46" s="89">
        <v>103810</v>
      </c>
      <c r="F46" s="90" t="s">
        <v>546</v>
      </c>
      <c r="G46" s="91" t="s">
        <v>547</v>
      </c>
      <c r="H46" s="92">
        <v>4064334.56</v>
      </c>
      <c r="I46" s="92">
        <v>4064334.56</v>
      </c>
      <c r="J46" s="90" t="s">
        <v>385</v>
      </c>
      <c r="K46" s="93" t="s">
        <v>521</v>
      </c>
      <c r="L46" s="90"/>
      <c r="M46" s="89"/>
      <c r="N46" s="90"/>
      <c r="O46" s="89"/>
      <c r="P46" s="105" t="s">
        <v>548</v>
      </c>
      <c r="Q46" s="90"/>
      <c r="R46" s="94"/>
      <c r="S46" s="94"/>
      <c r="T46" s="94"/>
      <c r="U46" s="94"/>
      <c r="V46" s="95"/>
      <c r="W46" s="95"/>
      <c r="X46" s="96"/>
      <c r="Y46" s="96"/>
      <c r="Z46" s="96"/>
      <c r="AA46" s="96"/>
      <c r="AB46" s="96"/>
      <c r="AC46" s="96"/>
      <c r="AD46" s="96"/>
      <c r="AE46" s="96"/>
      <c r="AF46" s="96"/>
      <c r="AG46" s="96"/>
      <c r="AH46" s="96"/>
      <c r="AI46" s="96"/>
      <c r="AJ46" s="96"/>
      <c r="AK46" s="96"/>
      <c r="AL46" s="96"/>
      <c r="AM46" s="96"/>
      <c r="AN46" s="96"/>
      <c r="AO46" s="96"/>
      <c r="AP46" s="96"/>
      <c r="AQ46" s="96"/>
      <c r="AR46" s="117">
        <v>651119.37</v>
      </c>
      <c r="AS46" s="117"/>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c r="DT46" s="96"/>
      <c r="DU46" s="96"/>
      <c r="DV46" s="96"/>
      <c r="DW46" s="96"/>
      <c r="DX46" s="96"/>
      <c r="DY46" s="96"/>
      <c r="DZ46" s="96"/>
      <c r="EA46" s="96"/>
      <c r="EB46" s="96"/>
      <c r="EC46" s="96"/>
      <c r="ED46" s="96"/>
      <c r="EE46" s="96"/>
      <c r="EF46" s="96"/>
      <c r="EG46" s="96"/>
      <c r="EH46" s="96"/>
      <c r="EI46" s="96"/>
      <c r="EJ46" s="97"/>
      <c r="EK46" s="97"/>
      <c r="EL46" s="97"/>
      <c r="EM46" s="96"/>
      <c r="EN46" s="96"/>
      <c r="EO46" s="96"/>
      <c r="EP46" s="96"/>
      <c r="EQ46" s="95">
        <v>42793</v>
      </c>
      <c r="ER46" s="95">
        <v>42852</v>
      </c>
      <c r="ES46" s="90"/>
      <c r="ET46" s="90"/>
      <c r="EU46" s="90"/>
      <c r="EV46" s="90"/>
      <c r="EW46" s="90"/>
      <c r="EX46" s="98">
        <v>100</v>
      </c>
      <c r="EY46" s="99"/>
      <c r="EZ46" s="99"/>
      <c r="FA46" s="100"/>
      <c r="FB46" s="101" t="s">
        <v>499</v>
      </c>
      <c r="FC46" s="89" t="s">
        <v>535</v>
      </c>
      <c r="FD46" s="87"/>
      <c r="FE46" s="87" t="s">
        <v>375</v>
      </c>
      <c r="FF46" s="107" t="s">
        <v>169</v>
      </c>
      <c r="FG46" s="108">
        <v>26015</v>
      </c>
      <c r="FH46" s="109" t="s">
        <v>549</v>
      </c>
    </row>
    <row r="47" spans="1:164" ht="50.1" customHeight="1">
      <c r="A47" s="87" t="e">
        <f t="shared" si="3"/>
        <v>#REF!</v>
      </c>
      <c r="B47" s="56"/>
      <c r="C47" s="56"/>
      <c r="D47" s="88"/>
      <c r="E47" s="89">
        <v>97737</v>
      </c>
      <c r="F47" s="90" t="s">
        <v>550</v>
      </c>
      <c r="G47" s="91" t="s">
        <v>551</v>
      </c>
      <c r="H47" s="92">
        <v>2200982.8199999998</v>
      </c>
      <c r="I47" s="92">
        <v>2200982.8199999998</v>
      </c>
      <c r="J47" s="90" t="s">
        <v>301</v>
      </c>
      <c r="K47" s="93" t="s">
        <v>552</v>
      </c>
      <c r="L47" s="90"/>
      <c r="M47" s="89"/>
      <c r="N47" s="90"/>
      <c r="O47" s="89"/>
      <c r="P47" s="105" t="s">
        <v>553</v>
      </c>
      <c r="Q47" s="90"/>
      <c r="R47" s="94"/>
      <c r="S47" s="94"/>
      <c r="T47" s="94"/>
      <c r="U47" s="94"/>
      <c r="V47" s="95"/>
      <c r="W47" s="95"/>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c r="DT47" s="96"/>
      <c r="DU47" s="96"/>
      <c r="DV47" s="96"/>
      <c r="DW47" s="96"/>
      <c r="DX47" s="96"/>
      <c r="DY47" s="96"/>
      <c r="DZ47" s="96"/>
      <c r="EA47" s="96"/>
      <c r="EB47" s="96"/>
      <c r="EC47" s="96"/>
      <c r="ED47" s="96"/>
      <c r="EE47" s="96"/>
      <c r="EF47" s="96"/>
      <c r="EG47" s="96"/>
      <c r="EH47" s="96"/>
      <c r="EI47" s="96"/>
      <c r="EJ47" s="97"/>
      <c r="EK47" s="97"/>
      <c r="EL47" s="97"/>
      <c r="EM47" s="96"/>
      <c r="EN47" s="96"/>
      <c r="EO47" s="96"/>
      <c r="EP47" s="96"/>
      <c r="EQ47" s="95">
        <v>42163</v>
      </c>
      <c r="ER47" s="95">
        <v>42352</v>
      </c>
      <c r="ES47" s="90"/>
      <c r="ET47" s="90"/>
      <c r="EU47" s="90"/>
      <c r="EV47" s="90"/>
      <c r="EW47" s="90"/>
      <c r="EX47" s="98">
        <v>80</v>
      </c>
      <c r="EY47" s="99"/>
      <c r="EZ47" s="99"/>
      <c r="FA47" s="100"/>
      <c r="FB47" s="101" t="s">
        <v>499</v>
      </c>
      <c r="FC47" s="89" t="s">
        <v>554</v>
      </c>
      <c r="FD47" s="87"/>
      <c r="FE47" s="87" t="s">
        <v>333</v>
      </c>
      <c r="FF47" s="107" t="s">
        <v>160</v>
      </c>
      <c r="FG47" s="108">
        <v>9030</v>
      </c>
      <c r="FH47" s="109" t="s">
        <v>555</v>
      </c>
    </row>
    <row r="48" spans="1:164" ht="50.1" customHeight="1">
      <c r="A48" s="87" t="e">
        <f t="shared" si="3"/>
        <v>#REF!</v>
      </c>
      <c r="B48" s="56"/>
      <c r="C48" s="56"/>
      <c r="D48" s="88"/>
      <c r="E48" s="89">
        <v>101097</v>
      </c>
      <c r="F48" s="90" t="s">
        <v>556</v>
      </c>
      <c r="G48" s="91" t="s">
        <v>557</v>
      </c>
      <c r="H48" s="92">
        <v>2893157.24</v>
      </c>
      <c r="I48" s="92">
        <v>2893157.24</v>
      </c>
      <c r="J48" s="90" t="s">
        <v>301</v>
      </c>
      <c r="K48" s="93" t="s">
        <v>558</v>
      </c>
      <c r="L48" s="90"/>
      <c r="M48" s="89"/>
      <c r="N48" s="90"/>
      <c r="O48" s="89"/>
      <c r="P48" s="105" t="s">
        <v>559</v>
      </c>
      <c r="Q48" s="90"/>
      <c r="R48" s="94"/>
      <c r="S48" s="94"/>
      <c r="T48" s="94"/>
      <c r="U48" s="94"/>
      <c r="V48" s="95"/>
      <c r="W48" s="95"/>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c r="DT48" s="96"/>
      <c r="DU48" s="96"/>
      <c r="DV48" s="96"/>
      <c r="DW48" s="96"/>
      <c r="DX48" s="96"/>
      <c r="DY48" s="96"/>
      <c r="DZ48" s="96"/>
      <c r="EA48" s="96"/>
      <c r="EB48" s="96"/>
      <c r="EC48" s="96"/>
      <c r="ED48" s="96"/>
      <c r="EE48" s="96"/>
      <c r="EF48" s="96"/>
      <c r="EG48" s="96"/>
      <c r="EH48" s="96"/>
      <c r="EI48" s="96"/>
      <c r="EJ48" s="97"/>
      <c r="EK48" s="97"/>
      <c r="EL48" s="97"/>
      <c r="EM48" s="96"/>
      <c r="EN48" s="96"/>
      <c r="EO48" s="96"/>
      <c r="EP48" s="96"/>
      <c r="EQ48" s="95">
        <v>42502</v>
      </c>
      <c r="ER48" s="95">
        <v>43064</v>
      </c>
      <c r="ES48" s="90"/>
      <c r="ET48" s="90"/>
      <c r="EU48" s="90"/>
      <c r="EV48" s="90"/>
      <c r="EW48" s="90"/>
      <c r="EX48" s="98">
        <v>90</v>
      </c>
      <c r="EY48" s="99"/>
      <c r="EZ48" s="99"/>
      <c r="FA48" s="100"/>
      <c r="FB48" s="101" t="s">
        <v>499</v>
      </c>
      <c r="FC48" s="89" t="s">
        <v>332</v>
      </c>
      <c r="FD48" s="87"/>
      <c r="FE48" s="87" t="s">
        <v>333</v>
      </c>
      <c r="FF48" s="107" t="s">
        <v>160</v>
      </c>
      <c r="FG48" s="108">
        <v>1629</v>
      </c>
      <c r="FH48" s="109" t="s">
        <v>560</v>
      </c>
    </row>
    <row r="49" spans="1:164" ht="50.1" customHeight="1">
      <c r="A49" s="87" t="e">
        <f t="shared" si="3"/>
        <v>#REF!</v>
      </c>
      <c r="B49" s="56"/>
      <c r="C49" s="56"/>
      <c r="D49" s="88"/>
      <c r="E49" s="89">
        <v>96451</v>
      </c>
      <c r="F49" s="90" t="s">
        <v>561</v>
      </c>
      <c r="G49" s="91" t="s">
        <v>562</v>
      </c>
      <c r="H49" s="92">
        <v>500000</v>
      </c>
      <c r="I49" s="92">
        <v>179049.12</v>
      </c>
      <c r="J49" s="90" t="s">
        <v>301</v>
      </c>
      <c r="K49" s="93" t="s">
        <v>527</v>
      </c>
      <c r="L49" s="90"/>
      <c r="M49" s="89"/>
      <c r="N49" s="90"/>
      <c r="O49" s="89"/>
      <c r="P49" s="105" t="s">
        <v>528</v>
      </c>
      <c r="Q49" s="90"/>
      <c r="R49" s="94"/>
      <c r="S49" s="94"/>
      <c r="T49" s="94"/>
      <c r="U49" s="94"/>
      <c r="V49" s="95"/>
      <c r="W49" s="95"/>
      <c r="X49" s="96"/>
      <c r="Y49" s="96"/>
      <c r="Z49" s="96"/>
      <c r="AA49" s="96"/>
      <c r="AB49" s="96"/>
      <c r="AC49" s="96"/>
      <c r="AD49" s="96"/>
      <c r="AE49" s="96"/>
      <c r="AF49" s="96"/>
      <c r="AG49" s="96"/>
      <c r="AH49" s="96"/>
      <c r="AI49" s="96"/>
      <c r="AJ49" s="96"/>
      <c r="AK49" s="96"/>
      <c r="AL49" s="96"/>
      <c r="AM49" s="96"/>
      <c r="AN49" s="96"/>
      <c r="AO49" s="96"/>
      <c r="AP49" s="96"/>
      <c r="AQ49" s="96"/>
      <c r="AR49" s="96"/>
      <c r="AS49" s="96"/>
      <c r="AT49" s="96"/>
      <c r="AU49" s="96"/>
      <c r="AV49" s="96"/>
      <c r="AW49" s="96"/>
      <c r="AX49" s="96"/>
      <c r="AY49" s="96"/>
      <c r="AZ49" s="96"/>
      <c r="BA49" s="96"/>
      <c r="BB49" s="96"/>
      <c r="BC49" s="96"/>
      <c r="BD49" s="96"/>
      <c r="BE49" s="96"/>
      <c r="BF49" s="96"/>
      <c r="BG49" s="96"/>
      <c r="BH49" s="96"/>
      <c r="BI49" s="96"/>
      <c r="BJ49" s="96"/>
      <c r="BK49" s="96"/>
      <c r="BL49" s="96"/>
      <c r="BM49" s="96"/>
      <c r="BN49" s="96"/>
      <c r="BO49" s="96"/>
      <c r="BP49" s="96"/>
      <c r="BQ49" s="96"/>
      <c r="BR49" s="96"/>
      <c r="BS49" s="96"/>
      <c r="BT49" s="96"/>
      <c r="BU49" s="96"/>
      <c r="BV49" s="96"/>
      <c r="BW49" s="96"/>
      <c r="BX49" s="96"/>
      <c r="BY49" s="96"/>
      <c r="BZ49" s="96"/>
      <c r="CA49" s="96"/>
      <c r="CB49" s="96"/>
      <c r="CC49" s="96"/>
      <c r="CD49" s="96"/>
      <c r="CE49" s="96"/>
      <c r="CF49" s="96"/>
      <c r="CG49" s="96"/>
      <c r="CH49" s="96"/>
      <c r="CI49" s="96"/>
      <c r="CJ49" s="96"/>
      <c r="CK49" s="96"/>
      <c r="CL49" s="96"/>
      <c r="CM49" s="96"/>
      <c r="CN49" s="96"/>
      <c r="CO49" s="96"/>
      <c r="CP49" s="96"/>
      <c r="CQ49" s="96"/>
      <c r="CR49" s="96"/>
      <c r="CS49" s="96"/>
      <c r="CT49" s="96"/>
      <c r="CU49" s="96"/>
      <c r="CV49" s="96"/>
      <c r="CW49" s="96"/>
      <c r="CX49" s="96"/>
      <c r="CY49" s="96"/>
      <c r="CZ49" s="96"/>
      <c r="DA49" s="96"/>
      <c r="DB49" s="96"/>
      <c r="DC49" s="96"/>
      <c r="DD49" s="96"/>
      <c r="DE49" s="96"/>
      <c r="DF49" s="96"/>
      <c r="DG49" s="96"/>
      <c r="DH49" s="96"/>
      <c r="DI49" s="96"/>
      <c r="DJ49" s="96"/>
      <c r="DK49" s="96"/>
      <c r="DL49" s="96"/>
      <c r="DM49" s="96"/>
      <c r="DN49" s="96"/>
      <c r="DO49" s="96"/>
      <c r="DP49" s="96"/>
      <c r="DQ49" s="96"/>
      <c r="DR49" s="96"/>
      <c r="DS49" s="96"/>
      <c r="DT49" s="96"/>
      <c r="DU49" s="96"/>
      <c r="DV49" s="96"/>
      <c r="DW49" s="96"/>
      <c r="DX49" s="96"/>
      <c r="DY49" s="96"/>
      <c r="DZ49" s="96"/>
      <c r="EA49" s="96"/>
      <c r="EB49" s="96"/>
      <c r="EC49" s="96"/>
      <c r="ED49" s="96"/>
      <c r="EE49" s="96"/>
      <c r="EF49" s="96"/>
      <c r="EG49" s="96"/>
      <c r="EH49" s="96"/>
      <c r="EI49" s="96"/>
      <c r="EJ49" s="97"/>
      <c r="EK49" s="97"/>
      <c r="EL49" s="97"/>
      <c r="EM49" s="96"/>
      <c r="EN49" s="96"/>
      <c r="EO49" s="96"/>
      <c r="EP49" s="96"/>
      <c r="EQ49" s="95">
        <v>42086</v>
      </c>
      <c r="ER49" s="95">
        <v>42265</v>
      </c>
      <c r="ES49" s="90"/>
      <c r="ET49" s="90"/>
      <c r="EU49" s="90"/>
      <c r="EV49" s="90"/>
      <c r="EW49" s="90"/>
      <c r="EX49" s="98">
        <v>70</v>
      </c>
      <c r="EY49" s="99"/>
      <c r="EZ49" s="99"/>
      <c r="FA49" s="100"/>
      <c r="FB49" s="101" t="s">
        <v>499</v>
      </c>
      <c r="FC49" s="89" t="s">
        <v>529</v>
      </c>
      <c r="FD49" s="87"/>
      <c r="FE49" s="87" t="s">
        <v>328</v>
      </c>
      <c r="FF49" s="107" t="s">
        <v>146</v>
      </c>
      <c r="FG49" s="108">
        <v>826</v>
      </c>
      <c r="FH49" s="109" t="s">
        <v>530</v>
      </c>
    </row>
    <row r="50" spans="1:164" ht="50.1" customHeight="1">
      <c r="A50" s="87" t="e">
        <f t="shared" si="3"/>
        <v>#REF!</v>
      </c>
      <c r="B50" s="56"/>
      <c r="C50" s="56"/>
      <c r="D50" s="88"/>
      <c r="E50" s="89">
        <v>101786</v>
      </c>
      <c r="F50" s="90" t="s">
        <v>563</v>
      </c>
      <c r="G50" s="91" t="s">
        <v>564</v>
      </c>
      <c r="H50" s="92">
        <v>1218154.04</v>
      </c>
      <c r="I50" s="92">
        <v>1218154.04</v>
      </c>
      <c r="J50" s="90" t="s">
        <v>301</v>
      </c>
      <c r="K50" s="93" t="s">
        <v>565</v>
      </c>
      <c r="L50" s="90"/>
      <c r="M50" s="89"/>
      <c r="N50" s="90"/>
      <c r="O50" s="89"/>
      <c r="P50" s="105" t="s">
        <v>566</v>
      </c>
      <c r="Q50" s="90"/>
      <c r="R50" s="94"/>
      <c r="S50" s="94"/>
      <c r="T50" s="94"/>
      <c r="U50" s="94"/>
      <c r="V50" s="95"/>
      <c r="W50" s="95"/>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96"/>
      <c r="AZ50" s="96"/>
      <c r="BA50" s="96"/>
      <c r="BB50" s="96"/>
      <c r="BC50" s="96"/>
      <c r="BD50" s="96"/>
      <c r="BE50" s="96"/>
      <c r="BF50" s="96"/>
      <c r="BG50" s="96"/>
      <c r="BH50" s="96"/>
      <c r="BI50" s="96"/>
      <c r="BJ50" s="96"/>
      <c r="BK50" s="96"/>
      <c r="BL50" s="96"/>
      <c r="BM50" s="96"/>
      <c r="BN50" s="96"/>
      <c r="BO50" s="96"/>
      <c r="BP50" s="96"/>
      <c r="BQ50" s="96"/>
      <c r="BR50" s="96"/>
      <c r="BS50" s="96"/>
      <c r="BT50" s="96"/>
      <c r="BU50" s="96"/>
      <c r="BV50" s="96"/>
      <c r="BW50" s="96"/>
      <c r="BX50" s="96"/>
      <c r="BY50" s="96"/>
      <c r="BZ50" s="96"/>
      <c r="CA50" s="96"/>
      <c r="CB50" s="96"/>
      <c r="CC50" s="96"/>
      <c r="CD50" s="96"/>
      <c r="CE50" s="96"/>
      <c r="CF50" s="96"/>
      <c r="CG50" s="96"/>
      <c r="CH50" s="96"/>
      <c r="CI50" s="96"/>
      <c r="CJ50" s="96"/>
      <c r="CK50" s="96"/>
      <c r="CL50" s="96"/>
      <c r="CM50" s="96"/>
      <c r="CN50" s="96"/>
      <c r="CO50" s="96"/>
      <c r="CP50" s="96"/>
      <c r="CQ50" s="96"/>
      <c r="CR50" s="96"/>
      <c r="CS50" s="96"/>
      <c r="CT50" s="96"/>
      <c r="CU50" s="96"/>
      <c r="CV50" s="96"/>
      <c r="CW50" s="96"/>
      <c r="CX50" s="96"/>
      <c r="CY50" s="96"/>
      <c r="CZ50" s="96"/>
      <c r="DA50" s="96"/>
      <c r="DB50" s="96"/>
      <c r="DC50" s="96"/>
      <c r="DD50" s="96"/>
      <c r="DE50" s="96"/>
      <c r="DF50" s="96"/>
      <c r="DG50" s="96"/>
      <c r="DH50" s="96"/>
      <c r="DI50" s="96"/>
      <c r="DJ50" s="96"/>
      <c r="DK50" s="96"/>
      <c r="DL50" s="96"/>
      <c r="DM50" s="96"/>
      <c r="DN50" s="96"/>
      <c r="DO50" s="96"/>
      <c r="DP50" s="96"/>
      <c r="DQ50" s="96"/>
      <c r="DR50" s="96"/>
      <c r="DS50" s="96"/>
      <c r="DT50" s="96"/>
      <c r="DU50" s="96"/>
      <c r="DV50" s="96"/>
      <c r="DW50" s="96"/>
      <c r="DX50" s="96"/>
      <c r="DY50" s="96"/>
      <c r="DZ50" s="96"/>
      <c r="EA50" s="96"/>
      <c r="EB50" s="96"/>
      <c r="EC50" s="96"/>
      <c r="ED50" s="96"/>
      <c r="EE50" s="96"/>
      <c r="EF50" s="96"/>
      <c r="EG50" s="96"/>
      <c r="EH50" s="96"/>
      <c r="EI50" s="96"/>
      <c r="EJ50" s="97"/>
      <c r="EK50" s="97"/>
      <c r="EL50" s="97"/>
      <c r="EM50" s="96"/>
      <c r="EN50" s="96"/>
      <c r="EO50" s="96"/>
      <c r="EP50" s="96"/>
      <c r="EQ50" s="95">
        <v>43088</v>
      </c>
      <c r="ER50" s="95">
        <v>43204</v>
      </c>
      <c r="ES50" s="90"/>
      <c r="ET50" s="90"/>
      <c r="EU50" s="90"/>
      <c r="EV50" s="90"/>
      <c r="EW50" s="90"/>
      <c r="EX50" s="98">
        <v>46</v>
      </c>
      <c r="EY50" s="99"/>
      <c r="EZ50" s="99"/>
      <c r="FA50" s="100"/>
      <c r="FB50" s="101" t="s">
        <v>499</v>
      </c>
      <c r="FC50" s="89" t="s">
        <v>492</v>
      </c>
      <c r="FD50" s="87"/>
      <c r="FE50" s="87" t="s">
        <v>328</v>
      </c>
      <c r="FF50" s="107" t="s">
        <v>169</v>
      </c>
      <c r="FG50" s="108">
        <v>305</v>
      </c>
      <c r="FH50" s="109" t="s">
        <v>567</v>
      </c>
    </row>
    <row r="51" spans="1:164" ht="50.1" customHeight="1">
      <c r="A51" s="87" t="e">
        <f t="shared" si="3"/>
        <v>#REF!</v>
      </c>
      <c r="B51" s="56"/>
      <c r="C51" s="56"/>
      <c r="D51" s="88"/>
      <c r="E51" s="89">
        <v>94370</v>
      </c>
      <c r="F51" s="90" t="s">
        <v>568</v>
      </c>
      <c r="G51" s="91" t="s">
        <v>569</v>
      </c>
      <c r="H51" s="92">
        <v>11000000</v>
      </c>
      <c r="I51" s="92">
        <v>2785618.07</v>
      </c>
      <c r="J51" s="90" t="s">
        <v>301</v>
      </c>
      <c r="K51" s="93" t="s">
        <v>570</v>
      </c>
      <c r="L51" s="90"/>
      <c r="M51" s="89"/>
      <c r="N51" s="90"/>
      <c r="O51" s="89"/>
      <c r="P51" s="105" t="s">
        <v>571</v>
      </c>
      <c r="Q51" s="90"/>
      <c r="R51" s="94"/>
      <c r="S51" s="94"/>
      <c r="T51" s="94"/>
      <c r="U51" s="94"/>
      <c r="V51" s="95"/>
      <c r="W51" s="95"/>
      <c r="X51" s="96"/>
      <c r="Y51" s="96"/>
      <c r="Z51" s="96"/>
      <c r="AA51" s="96"/>
      <c r="AB51" s="96"/>
      <c r="AC51" s="96"/>
      <c r="AD51" s="96"/>
      <c r="AE51" s="96"/>
      <c r="AF51" s="96"/>
      <c r="AG51" s="96"/>
      <c r="AH51" s="96"/>
      <c r="AI51" s="96"/>
      <c r="AJ51" s="96"/>
      <c r="AK51" s="96"/>
      <c r="AL51" s="96"/>
      <c r="AM51" s="96"/>
      <c r="AN51" s="96"/>
      <c r="AO51" s="96"/>
      <c r="AP51" s="96"/>
      <c r="AQ51" s="96"/>
      <c r="AR51" s="96"/>
      <c r="AS51" s="96"/>
      <c r="AT51" s="96"/>
      <c r="AU51" s="96"/>
      <c r="AV51" s="96"/>
      <c r="AW51" s="96"/>
      <c r="AX51" s="96"/>
      <c r="AY51" s="96"/>
      <c r="AZ51" s="96"/>
      <c r="BA51" s="96"/>
      <c r="BB51" s="96"/>
      <c r="BC51" s="96"/>
      <c r="BD51" s="96"/>
      <c r="BE51" s="96"/>
      <c r="BF51" s="96"/>
      <c r="BG51" s="96"/>
      <c r="BH51" s="96"/>
      <c r="BI51" s="96"/>
      <c r="BJ51" s="96"/>
      <c r="BK51" s="96"/>
      <c r="BL51" s="96"/>
      <c r="BM51" s="96"/>
      <c r="BN51" s="96"/>
      <c r="BO51" s="96"/>
      <c r="BP51" s="96"/>
      <c r="BQ51" s="96"/>
      <c r="BR51" s="96"/>
      <c r="BS51" s="96"/>
      <c r="BT51" s="96"/>
      <c r="BU51" s="96"/>
      <c r="BV51" s="96"/>
      <c r="BW51" s="96"/>
      <c r="BX51" s="96"/>
      <c r="BY51" s="96"/>
      <c r="BZ51" s="96"/>
      <c r="CA51" s="96"/>
      <c r="CB51" s="96"/>
      <c r="CC51" s="96"/>
      <c r="CD51" s="96"/>
      <c r="CE51" s="96"/>
      <c r="CF51" s="96"/>
      <c r="CG51" s="96"/>
      <c r="CH51" s="96"/>
      <c r="CI51" s="96"/>
      <c r="CJ51" s="96"/>
      <c r="CK51" s="96"/>
      <c r="CL51" s="96"/>
      <c r="CM51" s="96"/>
      <c r="CN51" s="96"/>
      <c r="CO51" s="96"/>
      <c r="CP51" s="96"/>
      <c r="CQ51" s="96"/>
      <c r="CR51" s="96"/>
      <c r="CS51" s="96"/>
      <c r="CT51" s="96"/>
      <c r="CU51" s="96"/>
      <c r="CV51" s="96"/>
      <c r="CW51" s="96"/>
      <c r="CX51" s="96"/>
      <c r="CY51" s="96"/>
      <c r="CZ51" s="96"/>
      <c r="DA51" s="96"/>
      <c r="DB51" s="96"/>
      <c r="DC51" s="96"/>
      <c r="DD51" s="96"/>
      <c r="DE51" s="96"/>
      <c r="DF51" s="96"/>
      <c r="DG51" s="96"/>
      <c r="DH51" s="96"/>
      <c r="DI51" s="96"/>
      <c r="DJ51" s="96"/>
      <c r="DK51" s="96"/>
      <c r="DL51" s="96"/>
      <c r="DM51" s="96"/>
      <c r="DN51" s="96"/>
      <c r="DO51" s="96"/>
      <c r="DP51" s="96"/>
      <c r="DQ51" s="96"/>
      <c r="DR51" s="96"/>
      <c r="DS51" s="96"/>
      <c r="DT51" s="96"/>
      <c r="DU51" s="96"/>
      <c r="DV51" s="96"/>
      <c r="DW51" s="96"/>
      <c r="DX51" s="96"/>
      <c r="DY51" s="96"/>
      <c r="DZ51" s="96"/>
      <c r="EA51" s="96"/>
      <c r="EB51" s="96"/>
      <c r="EC51" s="96"/>
      <c r="ED51" s="96"/>
      <c r="EE51" s="96"/>
      <c r="EF51" s="96"/>
      <c r="EG51" s="96"/>
      <c r="EH51" s="96"/>
      <c r="EI51" s="96"/>
      <c r="EJ51" s="97"/>
      <c r="EK51" s="97"/>
      <c r="EL51" s="97"/>
      <c r="EM51" s="96"/>
      <c r="EN51" s="96"/>
      <c r="EO51" s="96"/>
      <c r="EP51" s="96"/>
      <c r="EQ51" s="95">
        <v>43098</v>
      </c>
      <c r="ER51" s="95">
        <v>43217</v>
      </c>
      <c r="ES51" s="90"/>
      <c r="ET51" s="90"/>
      <c r="EU51" s="90"/>
      <c r="EV51" s="90"/>
      <c r="EW51" s="90"/>
      <c r="EX51" s="98">
        <v>0</v>
      </c>
      <c r="EY51" s="99"/>
      <c r="EZ51" s="99"/>
      <c r="FA51" s="100"/>
      <c r="FB51" s="101" t="s">
        <v>499</v>
      </c>
      <c r="FC51" s="89" t="s">
        <v>535</v>
      </c>
      <c r="FD51" s="87"/>
      <c r="FE51" s="87" t="s">
        <v>375</v>
      </c>
      <c r="FF51" s="107" t="s">
        <v>169</v>
      </c>
      <c r="FG51" s="108">
        <v>4400</v>
      </c>
      <c r="FH51" s="109" t="s">
        <v>572</v>
      </c>
    </row>
    <row r="52" spans="1:164" ht="50.1" customHeight="1">
      <c r="A52" s="87" t="e">
        <f t="shared" si="3"/>
        <v>#REF!</v>
      </c>
      <c r="B52" s="125"/>
      <c r="C52" s="56"/>
      <c r="D52" s="88"/>
      <c r="E52" s="89">
        <v>100134</v>
      </c>
      <c r="F52" s="90" t="s">
        <v>573</v>
      </c>
      <c r="G52" s="91" t="s">
        <v>574</v>
      </c>
      <c r="H52" s="92">
        <v>299773.77</v>
      </c>
      <c r="I52" s="92">
        <v>299773.76999999996</v>
      </c>
      <c r="J52" s="90" t="s">
        <v>301</v>
      </c>
      <c r="K52" s="93" t="s">
        <v>533</v>
      </c>
      <c r="L52" s="90"/>
      <c r="M52" s="89"/>
      <c r="N52" s="90"/>
      <c r="O52" s="89"/>
      <c r="P52" s="105" t="s">
        <v>575</v>
      </c>
      <c r="Q52" s="90"/>
      <c r="R52" s="94"/>
      <c r="S52" s="94"/>
      <c r="T52" s="94"/>
      <c r="U52" s="94"/>
      <c r="V52" s="95"/>
      <c r="W52" s="95"/>
      <c r="X52" s="96"/>
      <c r="Y52" s="96"/>
      <c r="Z52" s="96"/>
      <c r="AA52" s="96"/>
      <c r="AB52" s="96"/>
      <c r="AC52" s="96"/>
      <c r="AD52" s="96"/>
      <c r="AE52" s="96"/>
      <c r="AF52" s="96"/>
      <c r="AG52" s="96"/>
      <c r="AH52" s="96"/>
      <c r="AI52" s="96"/>
      <c r="AJ52" s="96"/>
      <c r="AK52" s="96"/>
      <c r="AL52" s="96"/>
      <c r="AM52" s="96"/>
      <c r="AN52" s="96"/>
      <c r="AO52" s="96"/>
      <c r="AP52" s="96"/>
      <c r="AQ52" s="96"/>
      <c r="AR52" s="96"/>
      <c r="AS52" s="96"/>
      <c r="AT52" s="96"/>
      <c r="AU52" s="96"/>
      <c r="AV52" s="96"/>
      <c r="AW52" s="96"/>
      <c r="AX52" s="96"/>
      <c r="AY52" s="96"/>
      <c r="AZ52" s="96"/>
      <c r="BA52" s="96"/>
      <c r="BB52" s="96"/>
      <c r="BC52" s="96"/>
      <c r="BD52" s="96"/>
      <c r="BE52" s="96"/>
      <c r="BF52" s="96"/>
      <c r="BG52" s="96"/>
      <c r="BH52" s="96"/>
      <c r="BI52" s="96"/>
      <c r="BJ52" s="96"/>
      <c r="BK52" s="96"/>
      <c r="BL52" s="96"/>
      <c r="BM52" s="96"/>
      <c r="BN52" s="96"/>
      <c r="BO52" s="96"/>
      <c r="BP52" s="96"/>
      <c r="BQ52" s="96"/>
      <c r="BR52" s="96"/>
      <c r="BS52" s="96"/>
      <c r="BT52" s="96"/>
      <c r="BU52" s="96"/>
      <c r="BV52" s="96"/>
      <c r="BW52" s="96"/>
      <c r="BX52" s="96"/>
      <c r="BY52" s="96"/>
      <c r="BZ52" s="96"/>
      <c r="CA52" s="96"/>
      <c r="CB52" s="96"/>
      <c r="CC52" s="96"/>
      <c r="CD52" s="96"/>
      <c r="CE52" s="96"/>
      <c r="CF52" s="96"/>
      <c r="CG52" s="96"/>
      <c r="CH52" s="96"/>
      <c r="CI52" s="96"/>
      <c r="CJ52" s="96"/>
      <c r="CK52" s="96"/>
      <c r="CL52" s="96"/>
      <c r="CM52" s="96"/>
      <c r="CN52" s="96"/>
      <c r="CO52" s="96"/>
      <c r="CP52" s="96"/>
      <c r="CQ52" s="96"/>
      <c r="CR52" s="96"/>
      <c r="CS52" s="96"/>
      <c r="CT52" s="96"/>
      <c r="CU52" s="96"/>
      <c r="CV52" s="96"/>
      <c r="CW52" s="96"/>
      <c r="CX52" s="96"/>
      <c r="CY52" s="96"/>
      <c r="CZ52" s="96"/>
      <c r="DA52" s="96"/>
      <c r="DB52" s="96"/>
      <c r="DC52" s="96"/>
      <c r="DD52" s="96"/>
      <c r="DE52" s="96"/>
      <c r="DF52" s="96"/>
      <c r="DG52" s="96"/>
      <c r="DH52" s="96"/>
      <c r="DI52" s="96"/>
      <c r="DJ52" s="96"/>
      <c r="DK52" s="96"/>
      <c r="DL52" s="96"/>
      <c r="DM52" s="96"/>
      <c r="DN52" s="96"/>
      <c r="DO52" s="96"/>
      <c r="DP52" s="96"/>
      <c r="DQ52" s="96"/>
      <c r="DR52" s="96"/>
      <c r="DS52" s="96"/>
      <c r="DT52" s="96"/>
      <c r="DU52" s="96"/>
      <c r="DV52" s="96"/>
      <c r="DW52" s="96"/>
      <c r="DX52" s="96"/>
      <c r="DY52" s="96"/>
      <c r="DZ52" s="96"/>
      <c r="EA52" s="96"/>
      <c r="EB52" s="96"/>
      <c r="EC52" s="96"/>
      <c r="ED52" s="96"/>
      <c r="EE52" s="96"/>
      <c r="EF52" s="96"/>
      <c r="EG52" s="96"/>
      <c r="EH52" s="96"/>
      <c r="EI52" s="96"/>
      <c r="EJ52" s="97"/>
      <c r="EK52" s="97"/>
      <c r="EL52" s="97"/>
      <c r="EM52" s="96"/>
      <c r="EN52" s="96"/>
      <c r="EO52" s="96"/>
      <c r="EP52" s="96"/>
      <c r="EQ52" s="95">
        <v>43087</v>
      </c>
      <c r="ER52" s="95">
        <v>43101</v>
      </c>
      <c r="ES52" s="90"/>
      <c r="ET52" s="90"/>
      <c r="EU52" s="92"/>
      <c r="EV52" s="90"/>
      <c r="EW52" s="90"/>
      <c r="EX52" s="98">
        <v>100</v>
      </c>
      <c r="EY52" s="99"/>
      <c r="EZ52" s="99"/>
      <c r="FA52" s="100"/>
      <c r="FB52" s="126" t="s">
        <v>499</v>
      </c>
      <c r="FC52" s="89" t="s">
        <v>535</v>
      </c>
      <c r="FD52" s="87"/>
      <c r="FE52" s="87" t="s">
        <v>375</v>
      </c>
      <c r="FF52" s="107" t="s">
        <v>146</v>
      </c>
      <c r="FG52" s="108">
        <v>4827</v>
      </c>
      <c r="FH52" s="109" t="s">
        <v>536</v>
      </c>
    </row>
    <row r="53" spans="1:164" ht="50.1" customHeight="1">
      <c r="A53" s="87" t="e">
        <f t="shared" si="3"/>
        <v>#REF!</v>
      </c>
      <c r="B53" s="125"/>
      <c r="C53" s="56"/>
      <c r="D53" s="88"/>
      <c r="E53" s="89">
        <v>101085</v>
      </c>
      <c r="F53" s="90" t="s">
        <v>576</v>
      </c>
      <c r="G53" s="91" t="s">
        <v>577</v>
      </c>
      <c r="H53" s="92">
        <v>1198217.55</v>
      </c>
      <c r="I53" s="92">
        <v>1198217.55</v>
      </c>
      <c r="J53" s="90" t="s">
        <v>301</v>
      </c>
      <c r="K53" s="93" t="s">
        <v>578</v>
      </c>
      <c r="L53" s="90"/>
      <c r="M53" s="89"/>
      <c r="N53" s="90"/>
      <c r="O53" s="89"/>
      <c r="P53" s="105" t="s">
        <v>579</v>
      </c>
      <c r="Q53" s="90"/>
      <c r="R53" s="94"/>
      <c r="S53" s="94"/>
      <c r="T53" s="94"/>
      <c r="U53" s="94"/>
      <c r="V53" s="95"/>
      <c r="W53" s="95"/>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c r="BJ53" s="96"/>
      <c r="BK53" s="96"/>
      <c r="BL53" s="96"/>
      <c r="BM53" s="96"/>
      <c r="BN53" s="96"/>
      <c r="BO53" s="96"/>
      <c r="BP53" s="96"/>
      <c r="BQ53" s="96"/>
      <c r="BR53" s="96"/>
      <c r="BS53" s="96"/>
      <c r="BT53" s="96"/>
      <c r="BU53" s="96"/>
      <c r="BV53" s="96"/>
      <c r="BW53" s="96"/>
      <c r="BX53" s="96"/>
      <c r="BY53" s="96"/>
      <c r="BZ53" s="96"/>
      <c r="CA53" s="96"/>
      <c r="CB53" s="96"/>
      <c r="CC53" s="96"/>
      <c r="CD53" s="96"/>
      <c r="CE53" s="96"/>
      <c r="CF53" s="96"/>
      <c r="CG53" s="96"/>
      <c r="CH53" s="96"/>
      <c r="CI53" s="96"/>
      <c r="CJ53" s="96"/>
      <c r="CK53" s="96"/>
      <c r="CL53" s="96"/>
      <c r="CM53" s="96"/>
      <c r="CN53" s="96"/>
      <c r="CO53" s="96"/>
      <c r="CP53" s="96"/>
      <c r="CQ53" s="96"/>
      <c r="CR53" s="96"/>
      <c r="CS53" s="96"/>
      <c r="CT53" s="96"/>
      <c r="CU53" s="96"/>
      <c r="CV53" s="96"/>
      <c r="CW53" s="96"/>
      <c r="CX53" s="96"/>
      <c r="CY53" s="96"/>
      <c r="CZ53" s="96"/>
      <c r="DA53" s="96"/>
      <c r="DB53" s="96"/>
      <c r="DC53" s="96"/>
      <c r="DD53" s="96"/>
      <c r="DE53" s="96"/>
      <c r="DF53" s="96"/>
      <c r="DG53" s="96"/>
      <c r="DH53" s="96"/>
      <c r="DI53" s="96"/>
      <c r="DJ53" s="96"/>
      <c r="DK53" s="96"/>
      <c r="DL53" s="96"/>
      <c r="DM53" s="96"/>
      <c r="DN53" s="96"/>
      <c r="DO53" s="96"/>
      <c r="DP53" s="96"/>
      <c r="DQ53" s="96"/>
      <c r="DR53" s="96"/>
      <c r="DS53" s="96"/>
      <c r="DT53" s="96"/>
      <c r="DU53" s="96"/>
      <c r="DV53" s="96"/>
      <c r="DW53" s="96"/>
      <c r="DX53" s="96"/>
      <c r="DY53" s="96"/>
      <c r="DZ53" s="96"/>
      <c r="EA53" s="96"/>
      <c r="EB53" s="96"/>
      <c r="EC53" s="96"/>
      <c r="ED53" s="96"/>
      <c r="EE53" s="96"/>
      <c r="EF53" s="96"/>
      <c r="EG53" s="96"/>
      <c r="EH53" s="96"/>
      <c r="EI53" s="96"/>
      <c r="EJ53" s="97"/>
      <c r="EK53" s="97"/>
      <c r="EL53" s="97"/>
      <c r="EM53" s="96"/>
      <c r="EN53" s="96"/>
      <c r="EO53" s="96"/>
      <c r="EP53" s="96"/>
      <c r="EQ53" s="95">
        <v>43168</v>
      </c>
      <c r="ER53" s="95">
        <v>43257</v>
      </c>
      <c r="ES53" s="90"/>
      <c r="ET53" s="94"/>
      <c r="EU53" s="90"/>
      <c r="EV53" s="90"/>
      <c r="EW53" s="90"/>
      <c r="EX53" s="98">
        <v>88</v>
      </c>
      <c r="EY53" s="99"/>
      <c r="EZ53" s="99"/>
      <c r="FA53" s="100"/>
      <c r="FB53" s="101" t="s">
        <v>499</v>
      </c>
      <c r="FC53" s="89" t="s">
        <v>580</v>
      </c>
      <c r="FD53" s="87"/>
      <c r="FE53" s="87" t="s">
        <v>375</v>
      </c>
      <c r="FF53" s="107" t="s">
        <v>146</v>
      </c>
      <c r="FG53" s="108">
        <v>54220</v>
      </c>
      <c r="FH53" s="109" t="s">
        <v>581</v>
      </c>
    </row>
    <row r="54" spans="1:164" ht="50.1" customHeight="1">
      <c r="A54" s="87" t="e">
        <f t="shared" si="3"/>
        <v>#REF!</v>
      </c>
      <c r="B54" s="125"/>
      <c r="C54" s="56"/>
      <c r="D54" s="88"/>
      <c r="E54" s="89">
        <v>96479</v>
      </c>
      <c r="F54" s="90" t="s">
        <v>582</v>
      </c>
      <c r="G54" s="91" t="s">
        <v>583</v>
      </c>
      <c r="H54" s="92">
        <v>8853754.5999999996</v>
      </c>
      <c r="I54" s="92">
        <v>8853754.5999999996</v>
      </c>
      <c r="J54" s="90" t="s">
        <v>301</v>
      </c>
      <c r="K54" s="93" t="s">
        <v>584</v>
      </c>
      <c r="L54" s="90"/>
      <c r="M54" s="89"/>
      <c r="N54" s="90"/>
      <c r="O54" s="89"/>
      <c r="P54" s="105" t="s">
        <v>585</v>
      </c>
      <c r="Q54" s="90"/>
      <c r="R54" s="94"/>
      <c r="S54" s="94"/>
      <c r="T54" s="94"/>
      <c r="U54" s="94"/>
      <c r="V54" s="95"/>
      <c r="W54" s="95"/>
      <c r="X54" s="96"/>
      <c r="Y54" s="96"/>
      <c r="Z54" s="96"/>
      <c r="AA54" s="96"/>
      <c r="AB54" s="96"/>
      <c r="AC54" s="96"/>
      <c r="AD54" s="96"/>
      <c r="AE54" s="96"/>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c r="BG54" s="96"/>
      <c r="BH54" s="96"/>
      <c r="BI54" s="96"/>
      <c r="BJ54" s="96"/>
      <c r="BK54" s="96"/>
      <c r="BL54" s="96"/>
      <c r="BM54" s="96"/>
      <c r="BN54" s="96"/>
      <c r="BO54" s="96"/>
      <c r="BP54" s="96"/>
      <c r="BQ54" s="96"/>
      <c r="BR54" s="96"/>
      <c r="BS54" s="96"/>
      <c r="BT54" s="96"/>
      <c r="BU54" s="96"/>
      <c r="BV54" s="96"/>
      <c r="BW54" s="96"/>
      <c r="BX54" s="96"/>
      <c r="BY54" s="96"/>
      <c r="BZ54" s="96"/>
      <c r="CA54" s="96"/>
      <c r="CB54" s="96"/>
      <c r="CC54" s="96"/>
      <c r="CD54" s="96"/>
      <c r="CE54" s="96"/>
      <c r="CF54" s="96"/>
      <c r="CG54" s="96"/>
      <c r="CH54" s="96"/>
      <c r="CI54" s="96"/>
      <c r="CJ54" s="96"/>
      <c r="CK54" s="96"/>
      <c r="CL54" s="96"/>
      <c r="CM54" s="96"/>
      <c r="CN54" s="96"/>
      <c r="CO54" s="96"/>
      <c r="CP54" s="96"/>
      <c r="CQ54" s="96"/>
      <c r="CR54" s="96"/>
      <c r="CS54" s="96"/>
      <c r="CT54" s="96"/>
      <c r="CU54" s="96"/>
      <c r="CV54" s="96"/>
      <c r="CW54" s="96"/>
      <c r="CX54" s="96"/>
      <c r="CY54" s="96"/>
      <c r="CZ54" s="96"/>
      <c r="DA54" s="96"/>
      <c r="DB54" s="96"/>
      <c r="DC54" s="96"/>
      <c r="DD54" s="96"/>
      <c r="DE54" s="96"/>
      <c r="DF54" s="96"/>
      <c r="DG54" s="96"/>
      <c r="DH54" s="96"/>
      <c r="DI54" s="96"/>
      <c r="DJ54" s="96"/>
      <c r="DK54" s="96"/>
      <c r="DL54" s="96"/>
      <c r="DM54" s="96"/>
      <c r="DN54" s="96"/>
      <c r="DO54" s="96"/>
      <c r="DP54" s="96"/>
      <c r="DQ54" s="96"/>
      <c r="DR54" s="96"/>
      <c r="DS54" s="96"/>
      <c r="DT54" s="96"/>
      <c r="DU54" s="96"/>
      <c r="DV54" s="96"/>
      <c r="DW54" s="96"/>
      <c r="DX54" s="96"/>
      <c r="DY54" s="96"/>
      <c r="DZ54" s="96"/>
      <c r="EA54" s="96"/>
      <c r="EB54" s="96"/>
      <c r="EC54" s="96"/>
      <c r="ED54" s="96"/>
      <c r="EE54" s="96"/>
      <c r="EF54" s="96"/>
      <c r="EG54" s="96"/>
      <c r="EH54" s="96"/>
      <c r="EI54" s="96"/>
      <c r="EJ54" s="97"/>
      <c r="EK54" s="97"/>
      <c r="EL54" s="97"/>
      <c r="EM54" s="96"/>
      <c r="EN54" s="96"/>
      <c r="EO54" s="96"/>
      <c r="EP54" s="96"/>
      <c r="EQ54" s="95">
        <v>42086</v>
      </c>
      <c r="ER54" s="95">
        <v>42325</v>
      </c>
      <c r="ES54" s="90"/>
      <c r="ET54" s="90"/>
      <c r="EU54" s="90"/>
      <c r="EV54" s="90"/>
      <c r="EW54" s="90"/>
      <c r="EX54" s="98">
        <v>100</v>
      </c>
      <c r="EY54" s="99"/>
      <c r="EZ54" s="99"/>
      <c r="FA54" s="100"/>
      <c r="FB54" s="101" t="s">
        <v>499</v>
      </c>
      <c r="FC54" s="89" t="s">
        <v>586</v>
      </c>
      <c r="FD54" s="87"/>
      <c r="FE54" s="87" t="s">
        <v>375</v>
      </c>
      <c r="FF54" s="107" t="s">
        <v>160</v>
      </c>
      <c r="FG54" s="108">
        <v>54220</v>
      </c>
      <c r="FH54" s="109" t="s">
        <v>587</v>
      </c>
    </row>
    <row r="55" spans="1:164" ht="50.1" customHeight="1">
      <c r="A55" s="87" t="e">
        <f t="shared" si="3"/>
        <v>#REF!</v>
      </c>
      <c r="B55" s="125"/>
      <c r="C55" s="56"/>
      <c r="D55" s="88"/>
      <c r="E55" s="89">
        <v>100134</v>
      </c>
      <c r="F55" s="90" t="s">
        <v>588</v>
      </c>
      <c r="G55" s="91" t="s">
        <v>589</v>
      </c>
      <c r="H55" s="92">
        <v>1499854.69</v>
      </c>
      <c r="I55" s="92">
        <v>1499854.69</v>
      </c>
      <c r="J55" s="90" t="s">
        <v>302</v>
      </c>
      <c r="K55" s="93" t="s">
        <v>533</v>
      </c>
      <c r="L55" s="90"/>
      <c r="M55" s="89"/>
      <c r="N55" s="90"/>
      <c r="O55" s="89"/>
      <c r="P55" s="105" t="s">
        <v>590</v>
      </c>
      <c r="Q55" s="90"/>
      <c r="R55" s="94"/>
      <c r="S55" s="94"/>
      <c r="T55" s="94"/>
      <c r="U55" s="94"/>
      <c r="V55" s="95"/>
      <c r="W55" s="95"/>
      <c r="X55" s="96"/>
      <c r="Y55" s="96"/>
      <c r="Z55" s="96"/>
      <c r="AA55" s="96"/>
      <c r="AB55" s="96"/>
      <c r="AC55" s="96"/>
      <c r="AD55" s="96"/>
      <c r="AE55" s="96"/>
      <c r="AF55" s="96"/>
      <c r="AG55" s="96"/>
      <c r="AH55" s="96"/>
      <c r="AI55" s="96"/>
      <c r="AJ55" s="96"/>
      <c r="AK55" s="96"/>
      <c r="AL55" s="96"/>
      <c r="AM55" s="96"/>
      <c r="AN55" s="96"/>
      <c r="AO55" s="96"/>
      <c r="AP55" s="96"/>
      <c r="AQ55" s="96"/>
      <c r="AR55" s="96"/>
      <c r="AS55" s="96"/>
      <c r="AT55" s="96">
        <v>102709.47</v>
      </c>
      <c r="AU55" s="96"/>
      <c r="AV55" s="96"/>
      <c r="AW55" s="96"/>
      <c r="AX55" s="96"/>
      <c r="AY55" s="96"/>
      <c r="AZ55" s="96"/>
      <c r="BA55" s="96"/>
      <c r="BB55" s="96"/>
      <c r="BC55" s="96"/>
      <c r="BD55" s="96"/>
      <c r="BE55" s="96"/>
      <c r="BF55" s="96"/>
      <c r="BG55" s="96"/>
      <c r="BH55" s="96"/>
      <c r="BI55" s="96"/>
      <c r="BJ55" s="96"/>
      <c r="BK55" s="96"/>
      <c r="BL55" s="96"/>
      <c r="BM55" s="96"/>
      <c r="BN55" s="96"/>
      <c r="BO55" s="96"/>
      <c r="BP55" s="96"/>
      <c r="BQ55" s="96"/>
      <c r="BR55" s="96"/>
      <c r="BS55" s="96"/>
      <c r="BT55" s="96"/>
      <c r="BU55" s="96"/>
      <c r="BV55" s="96"/>
      <c r="BW55" s="96"/>
      <c r="BX55" s="96"/>
      <c r="BY55" s="96"/>
      <c r="BZ55" s="96"/>
      <c r="CA55" s="96"/>
      <c r="CB55" s="96"/>
      <c r="CC55" s="96"/>
      <c r="CD55" s="96"/>
      <c r="CE55" s="96"/>
      <c r="CF55" s="96"/>
      <c r="CG55" s="96"/>
      <c r="CH55" s="96"/>
      <c r="CI55" s="96"/>
      <c r="CJ55" s="96"/>
      <c r="CK55" s="96"/>
      <c r="CL55" s="96"/>
      <c r="CM55" s="96"/>
      <c r="CN55" s="96"/>
      <c r="CO55" s="96"/>
      <c r="CP55" s="96"/>
      <c r="CQ55" s="96"/>
      <c r="CR55" s="96"/>
      <c r="CS55" s="96"/>
      <c r="CT55" s="96"/>
      <c r="CU55" s="96"/>
      <c r="CV55" s="96"/>
      <c r="CW55" s="96"/>
      <c r="CX55" s="96"/>
      <c r="CY55" s="96"/>
      <c r="CZ55" s="96"/>
      <c r="DA55" s="96"/>
      <c r="DB55" s="96"/>
      <c r="DC55" s="96"/>
      <c r="DD55" s="96"/>
      <c r="DE55" s="96"/>
      <c r="DF55" s="96"/>
      <c r="DG55" s="96"/>
      <c r="DH55" s="96"/>
      <c r="DI55" s="96"/>
      <c r="DJ55" s="96"/>
      <c r="DK55" s="96"/>
      <c r="DL55" s="96"/>
      <c r="DM55" s="96"/>
      <c r="DN55" s="96"/>
      <c r="DO55" s="96"/>
      <c r="DP55" s="96"/>
      <c r="DQ55" s="96"/>
      <c r="DR55" s="96"/>
      <c r="DS55" s="96"/>
      <c r="DT55" s="96"/>
      <c r="DU55" s="96"/>
      <c r="DV55" s="96"/>
      <c r="DW55" s="96"/>
      <c r="DX55" s="96"/>
      <c r="DY55" s="96"/>
      <c r="DZ55" s="96"/>
      <c r="EA55" s="96"/>
      <c r="EB55" s="96"/>
      <c r="EC55" s="96"/>
      <c r="ED55" s="96"/>
      <c r="EE55" s="96"/>
      <c r="EF55" s="96"/>
      <c r="EG55" s="96"/>
      <c r="EH55" s="96"/>
      <c r="EI55" s="96"/>
      <c r="EJ55" s="97"/>
      <c r="EK55" s="97"/>
      <c r="EL55" s="97"/>
      <c r="EM55" s="96"/>
      <c r="EN55" s="96"/>
      <c r="EO55" s="96"/>
      <c r="EP55" s="96"/>
      <c r="EQ55" s="95">
        <v>43213</v>
      </c>
      <c r="ER55" s="95">
        <v>43272</v>
      </c>
      <c r="ES55" s="90"/>
      <c r="ET55" s="90"/>
      <c r="EU55" s="90"/>
      <c r="EV55" s="90"/>
      <c r="EW55" s="90"/>
      <c r="EX55" s="98">
        <v>90</v>
      </c>
      <c r="EY55" s="99"/>
      <c r="EZ55" s="99"/>
      <c r="FA55" s="100"/>
      <c r="FB55" s="101" t="s">
        <v>499</v>
      </c>
      <c r="FC55" s="89" t="s">
        <v>535</v>
      </c>
      <c r="FD55" s="87"/>
      <c r="FE55" s="87" t="s">
        <v>375</v>
      </c>
      <c r="FF55" s="107" t="s">
        <v>146</v>
      </c>
      <c r="FG55" s="108">
        <v>5937</v>
      </c>
      <c r="FH55" s="109" t="s">
        <v>591</v>
      </c>
    </row>
    <row r="56" spans="1:164" ht="66.75" customHeight="1">
      <c r="A56" s="87" t="e">
        <f t="shared" si="3"/>
        <v>#REF!</v>
      </c>
      <c r="B56" s="125"/>
      <c r="C56" s="56"/>
      <c r="D56" s="88"/>
      <c r="E56" s="89">
        <v>96478</v>
      </c>
      <c r="F56" s="90" t="s">
        <v>592</v>
      </c>
      <c r="G56" s="91" t="s">
        <v>593</v>
      </c>
      <c r="H56" s="92">
        <v>10800000</v>
      </c>
      <c r="I56" s="92">
        <v>10796068.370000001</v>
      </c>
      <c r="J56" s="90" t="s">
        <v>302</v>
      </c>
      <c r="K56" s="93" t="s">
        <v>386</v>
      </c>
      <c r="L56" s="90"/>
      <c r="M56" s="89"/>
      <c r="N56" s="90"/>
      <c r="O56" s="89"/>
      <c r="P56" s="104" t="s">
        <v>594</v>
      </c>
      <c r="Q56" s="90"/>
      <c r="R56" s="94"/>
      <c r="S56" s="94"/>
      <c r="T56" s="94"/>
      <c r="U56" s="94"/>
      <c r="V56" s="95"/>
      <c r="W56" s="95"/>
      <c r="X56" s="96"/>
      <c r="Y56" s="96"/>
      <c r="Z56" s="96"/>
      <c r="AA56" s="96"/>
      <c r="AB56" s="96"/>
      <c r="AC56" s="96"/>
      <c r="AD56" s="96"/>
      <c r="AE56" s="96"/>
      <c r="AF56" s="96"/>
      <c r="AG56" s="96"/>
      <c r="AH56" s="96"/>
      <c r="AI56" s="127"/>
      <c r="AJ56" s="96"/>
      <c r="AK56" s="96"/>
      <c r="AL56" s="96"/>
      <c r="AM56" s="127"/>
      <c r="AN56" s="96"/>
      <c r="AO56" s="96"/>
      <c r="AP56" s="96"/>
      <c r="AQ56" s="127"/>
      <c r="AR56" s="96"/>
      <c r="AS56" s="96"/>
      <c r="AT56" s="96"/>
      <c r="AU56" s="96"/>
      <c r="AV56" s="96"/>
      <c r="AW56" s="96"/>
      <c r="AX56" s="96"/>
      <c r="AY56" s="96"/>
      <c r="AZ56" s="96"/>
      <c r="BA56" s="96"/>
      <c r="BB56" s="96"/>
      <c r="BC56" s="96"/>
      <c r="BD56" s="96"/>
      <c r="BE56" s="96"/>
      <c r="BF56" s="96"/>
      <c r="BG56" s="96"/>
      <c r="BH56" s="96"/>
      <c r="BI56" s="96"/>
      <c r="BJ56" s="96"/>
      <c r="BK56" s="96"/>
      <c r="BL56" s="96"/>
      <c r="BM56" s="96"/>
      <c r="BN56" s="96"/>
      <c r="BO56" s="96"/>
      <c r="BP56" s="96"/>
      <c r="BQ56" s="96"/>
      <c r="BR56" s="96"/>
      <c r="BS56" s="96"/>
      <c r="BT56" s="96"/>
      <c r="BU56" s="96"/>
      <c r="BV56" s="96"/>
      <c r="BW56" s="96"/>
      <c r="BX56" s="96"/>
      <c r="BY56" s="96"/>
      <c r="BZ56" s="96"/>
      <c r="CA56" s="96"/>
      <c r="CB56" s="96"/>
      <c r="CC56" s="96"/>
      <c r="CD56" s="96"/>
      <c r="CE56" s="96"/>
      <c r="CF56" s="96"/>
      <c r="CG56" s="96"/>
      <c r="CH56" s="96"/>
      <c r="CI56" s="96"/>
      <c r="CJ56" s="96"/>
      <c r="CK56" s="96"/>
      <c r="CL56" s="96"/>
      <c r="CM56" s="96"/>
      <c r="CN56" s="96"/>
      <c r="CO56" s="96"/>
      <c r="CP56" s="96"/>
      <c r="CQ56" s="96"/>
      <c r="CR56" s="96"/>
      <c r="CS56" s="96"/>
      <c r="CT56" s="96"/>
      <c r="CU56" s="96"/>
      <c r="CV56" s="96"/>
      <c r="CW56" s="96"/>
      <c r="CX56" s="96"/>
      <c r="CY56" s="96"/>
      <c r="CZ56" s="96"/>
      <c r="DA56" s="96"/>
      <c r="DB56" s="96"/>
      <c r="DC56" s="96"/>
      <c r="DD56" s="96"/>
      <c r="DE56" s="96"/>
      <c r="DF56" s="96"/>
      <c r="DG56" s="96"/>
      <c r="DH56" s="96"/>
      <c r="DI56" s="96"/>
      <c r="DJ56" s="96"/>
      <c r="DK56" s="96"/>
      <c r="DL56" s="96"/>
      <c r="DM56" s="96"/>
      <c r="DN56" s="96"/>
      <c r="DO56" s="96"/>
      <c r="DP56" s="96"/>
      <c r="DQ56" s="96"/>
      <c r="DR56" s="96"/>
      <c r="DS56" s="96"/>
      <c r="DT56" s="96"/>
      <c r="DU56" s="96"/>
      <c r="DV56" s="96"/>
      <c r="DW56" s="96"/>
      <c r="DX56" s="96"/>
      <c r="DY56" s="96"/>
      <c r="DZ56" s="96"/>
      <c r="EA56" s="96"/>
      <c r="EB56" s="96"/>
      <c r="EC56" s="96"/>
      <c r="ED56" s="96"/>
      <c r="EE56" s="96"/>
      <c r="EF56" s="96"/>
      <c r="EG56" s="96"/>
      <c r="EH56" s="96"/>
      <c r="EI56" s="96"/>
      <c r="EJ56" s="97"/>
      <c r="EK56" s="97"/>
      <c r="EL56" s="97"/>
      <c r="EM56" s="96"/>
      <c r="EN56" s="96"/>
      <c r="EO56" s="96"/>
      <c r="EP56" s="96"/>
      <c r="EQ56" s="95">
        <v>43374</v>
      </c>
      <c r="ER56" s="95">
        <v>43493</v>
      </c>
      <c r="ES56" s="90"/>
      <c r="ET56" s="90"/>
      <c r="EU56" s="90"/>
      <c r="EV56" s="90"/>
      <c r="EW56" s="90"/>
      <c r="EX56" s="98">
        <v>90</v>
      </c>
      <c r="EY56" s="99"/>
      <c r="EZ56" s="99"/>
      <c r="FA56" s="100"/>
      <c r="FB56" s="101" t="s">
        <v>499</v>
      </c>
      <c r="FC56" s="89" t="s">
        <v>368</v>
      </c>
      <c r="FD56" s="87"/>
      <c r="FE56" s="87" t="s">
        <v>333</v>
      </c>
      <c r="FF56" s="107" t="s">
        <v>160</v>
      </c>
      <c r="FG56" s="108">
        <v>22521</v>
      </c>
      <c r="FH56" s="109" t="s">
        <v>595</v>
      </c>
    </row>
    <row r="57" spans="1:164" ht="50.1" customHeight="1">
      <c r="A57" s="87" t="e">
        <f t="shared" si="3"/>
        <v>#REF!</v>
      </c>
      <c r="B57" s="125"/>
      <c r="C57" s="56"/>
      <c r="D57" s="88"/>
      <c r="E57" s="89">
        <v>97737</v>
      </c>
      <c r="F57" s="90" t="s">
        <v>550</v>
      </c>
      <c r="G57" s="91" t="s">
        <v>319</v>
      </c>
      <c r="H57" s="92">
        <v>7500000</v>
      </c>
      <c r="I57" s="92">
        <v>0</v>
      </c>
      <c r="J57" s="90" t="s">
        <v>302</v>
      </c>
      <c r="K57" s="93" t="s">
        <v>552</v>
      </c>
      <c r="L57" s="90"/>
      <c r="M57" s="89"/>
      <c r="N57" s="90"/>
      <c r="O57" s="89"/>
      <c r="P57" s="105" t="s">
        <v>553</v>
      </c>
      <c r="Q57" s="90"/>
      <c r="R57" s="94"/>
      <c r="S57" s="94"/>
      <c r="T57" s="94"/>
      <c r="U57" s="94"/>
      <c r="V57" s="95"/>
      <c r="W57" s="95"/>
      <c r="X57" s="96"/>
      <c r="Y57" s="96"/>
      <c r="Z57" s="96"/>
      <c r="AA57" s="96"/>
      <c r="AB57" s="96"/>
      <c r="AC57" s="96"/>
      <c r="AD57" s="96"/>
      <c r="AE57" s="96"/>
      <c r="AF57" s="96"/>
      <c r="AG57" s="96"/>
      <c r="AH57" s="96"/>
      <c r="AI57" s="96"/>
      <c r="AJ57" s="96"/>
      <c r="AK57" s="96"/>
      <c r="AL57" s="96"/>
      <c r="AM57" s="127"/>
      <c r="AN57" s="96"/>
      <c r="AO57" s="96"/>
      <c r="AP57" s="96"/>
      <c r="AQ57" s="96"/>
      <c r="AR57" s="96"/>
      <c r="AS57" s="96"/>
      <c r="AT57" s="96"/>
      <c r="AU57" s="96"/>
      <c r="AV57" s="96"/>
      <c r="AW57" s="96"/>
      <c r="AX57" s="96"/>
      <c r="AY57" s="96"/>
      <c r="AZ57" s="96"/>
      <c r="BA57" s="96"/>
      <c r="BB57" s="96"/>
      <c r="BC57" s="96"/>
      <c r="BD57" s="96"/>
      <c r="BE57" s="96"/>
      <c r="BF57" s="96"/>
      <c r="BG57" s="96"/>
      <c r="BH57" s="96"/>
      <c r="BI57" s="96"/>
      <c r="BJ57" s="96"/>
      <c r="BK57" s="96"/>
      <c r="BL57" s="96"/>
      <c r="BM57" s="96"/>
      <c r="BN57" s="96"/>
      <c r="BO57" s="96"/>
      <c r="BP57" s="96"/>
      <c r="BQ57" s="96"/>
      <c r="BR57" s="96"/>
      <c r="BS57" s="96"/>
      <c r="BT57" s="96"/>
      <c r="BU57" s="96"/>
      <c r="BV57" s="96"/>
      <c r="BW57" s="96"/>
      <c r="BX57" s="96"/>
      <c r="BY57" s="96"/>
      <c r="BZ57" s="96"/>
      <c r="CA57" s="96"/>
      <c r="CB57" s="96"/>
      <c r="CC57" s="96"/>
      <c r="CD57" s="96"/>
      <c r="CE57" s="96"/>
      <c r="CF57" s="96"/>
      <c r="CG57" s="96"/>
      <c r="CH57" s="96"/>
      <c r="CI57" s="96"/>
      <c r="CJ57" s="96"/>
      <c r="CK57" s="96"/>
      <c r="CL57" s="96"/>
      <c r="CM57" s="96"/>
      <c r="CN57" s="96"/>
      <c r="CO57" s="96"/>
      <c r="CP57" s="96"/>
      <c r="CQ57" s="96"/>
      <c r="CR57" s="96"/>
      <c r="CS57" s="96"/>
      <c r="CT57" s="96"/>
      <c r="CU57" s="96"/>
      <c r="CV57" s="96"/>
      <c r="CW57" s="96"/>
      <c r="CX57" s="96"/>
      <c r="CY57" s="96"/>
      <c r="CZ57" s="96"/>
      <c r="DA57" s="96"/>
      <c r="DB57" s="96"/>
      <c r="DC57" s="96"/>
      <c r="DD57" s="96"/>
      <c r="DE57" s="96"/>
      <c r="DF57" s="96"/>
      <c r="DG57" s="96"/>
      <c r="DH57" s="96"/>
      <c r="DI57" s="96"/>
      <c r="DJ57" s="96"/>
      <c r="DK57" s="96"/>
      <c r="DL57" s="96"/>
      <c r="DM57" s="96"/>
      <c r="DN57" s="96"/>
      <c r="DO57" s="96"/>
      <c r="DP57" s="96"/>
      <c r="DQ57" s="96"/>
      <c r="DR57" s="96"/>
      <c r="DS57" s="96"/>
      <c r="DT57" s="96"/>
      <c r="DU57" s="96"/>
      <c r="DV57" s="96"/>
      <c r="DW57" s="96"/>
      <c r="DX57" s="96"/>
      <c r="DY57" s="96"/>
      <c r="DZ57" s="96"/>
      <c r="EA57" s="96"/>
      <c r="EB57" s="96"/>
      <c r="EC57" s="96"/>
      <c r="ED57" s="96"/>
      <c r="EE57" s="96"/>
      <c r="EF57" s="96"/>
      <c r="EG57" s="96"/>
      <c r="EH57" s="96"/>
      <c r="EI57" s="96"/>
      <c r="EJ57" s="97"/>
      <c r="EK57" s="97"/>
      <c r="EL57" s="97"/>
      <c r="EM57" s="96"/>
      <c r="EN57" s="96"/>
      <c r="EO57" s="96"/>
      <c r="EP57" s="96"/>
      <c r="EQ57" s="95">
        <v>42163</v>
      </c>
      <c r="ER57" s="95">
        <v>42352</v>
      </c>
      <c r="ES57" s="90"/>
      <c r="ET57" s="90"/>
      <c r="EU57" s="90"/>
      <c r="EV57" s="90"/>
      <c r="EW57" s="90"/>
      <c r="EX57" s="98">
        <v>80</v>
      </c>
      <c r="EY57" s="99"/>
      <c r="EZ57" s="99"/>
      <c r="FA57" s="100"/>
      <c r="FB57" s="101" t="s">
        <v>499</v>
      </c>
      <c r="FC57" s="89" t="s">
        <v>554</v>
      </c>
      <c r="FD57" s="87"/>
      <c r="FE57" s="87" t="s">
        <v>333</v>
      </c>
      <c r="FF57" s="107" t="s">
        <v>160</v>
      </c>
      <c r="FG57" s="108">
        <v>9030</v>
      </c>
      <c r="FH57" s="109" t="s">
        <v>596</v>
      </c>
    </row>
    <row r="58" spans="1:164" ht="50.1" customHeight="1">
      <c r="A58" s="87" t="e">
        <f t="shared" si="3"/>
        <v>#REF!</v>
      </c>
      <c r="B58" s="75"/>
      <c r="C58" s="5"/>
      <c r="D58" s="128"/>
      <c r="E58" s="9">
        <v>107187</v>
      </c>
      <c r="F58" s="8" t="s">
        <v>597</v>
      </c>
      <c r="G58" s="129" t="s">
        <v>598</v>
      </c>
      <c r="H58" s="130">
        <v>3000000</v>
      </c>
      <c r="I58" s="130">
        <v>3000000</v>
      </c>
      <c r="J58" s="8" t="s">
        <v>302</v>
      </c>
      <c r="K58" s="93" t="s">
        <v>533</v>
      </c>
      <c r="L58" s="8"/>
      <c r="M58" s="9"/>
      <c r="N58" s="8"/>
      <c r="O58" s="9"/>
      <c r="P58" s="131" t="s">
        <v>599</v>
      </c>
      <c r="Q58" s="8"/>
      <c r="R58" s="10"/>
      <c r="S58" s="10"/>
      <c r="T58" s="10"/>
      <c r="U58" s="10"/>
      <c r="V58" s="11"/>
      <c r="W58" s="11"/>
      <c r="X58" s="97"/>
      <c r="Y58" s="97"/>
      <c r="Z58" s="97"/>
      <c r="AA58" s="97"/>
      <c r="AB58" s="97"/>
      <c r="AC58" s="97"/>
      <c r="AD58" s="97"/>
      <c r="AE58" s="97"/>
      <c r="AF58" s="97"/>
      <c r="AG58" s="97"/>
      <c r="AH58" s="97"/>
      <c r="AI58" s="97"/>
      <c r="AJ58" s="97"/>
      <c r="AK58" s="97"/>
      <c r="AL58" s="97"/>
      <c r="AM58" s="132"/>
      <c r="AN58" s="97"/>
      <c r="AO58" s="97"/>
      <c r="AP58" s="97"/>
      <c r="AQ58" s="97"/>
      <c r="AR58" s="97"/>
      <c r="AS58" s="97"/>
      <c r="AT58" s="97"/>
      <c r="AU58" s="97"/>
      <c r="AV58" s="97"/>
      <c r="AW58" s="97"/>
      <c r="AX58" s="97"/>
      <c r="AY58" s="97"/>
      <c r="AZ58" s="97"/>
      <c r="BA58" s="97"/>
      <c r="BB58" s="97"/>
      <c r="BC58" s="97"/>
      <c r="BD58" s="97"/>
      <c r="BE58" s="97"/>
      <c r="BF58" s="97"/>
      <c r="BG58" s="97"/>
      <c r="BH58" s="97"/>
      <c r="BI58" s="97"/>
      <c r="BJ58" s="97"/>
      <c r="BK58" s="97"/>
      <c r="BL58" s="97"/>
      <c r="BM58" s="97"/>
      <c r="BN58" s="97"/>
      <c r="BO58" s="97"/>
      <c r="BP58" s="97"/>
      <c r="BQ58" s="97"/>
      <c r="BR58" s="97"/>
      <c r="BS58" s="97"/>
      <c r="BT58" s="97"/>
      <c r="BU58" s="97"/>
      <c r="BV58" s="97"/>
      <c r="BW58" s="97"/>
      <c r="BX58" s="97"/>
      <c r="BY58" s="97"/>
      <c r="BZ58" s="97"/>
      <c r="CA58" s="97"/>
      <c r="CB58" s="97"/>
      <c r="CC58" s="97"/>
      <c r="CD58" s="97"/>
      <c r="CE58" s="97"/>
      <c r="CF58" s="97"/>
      <c r="CG58" s="97"/>
      <c r="CH58" s="97"/>
      <c r="CI58" s="97"/>
      <c r="CJ58" s="97"/>
      <c r="CK58" s="97"/>
      <c r="CL58" s="97"/>
      <c r="CM58" s="97"/>
      <c r="CN58" s="97"/>
      <c r="CO58" s="97"/>
      <c r="CP58" s="97"/>
      <c r="CQ58" s="97"/>
      <c r="CR58" s="97"/>
      <c r="CS58" s="97"/>
      <c r="CT58" s="97"/>
      <c r="CU58" s="97"/>
      <c r="CV58" s="97"/>
      <c r="CW58" s="97"/>
      <c r="CX58" s="97"/>
      <c r="CY58" s="97"/>
      <c r="CZ58" s="97"/>
      <c r="DA58" s="97"/>
      <c r="DB58" s="97"/>
      <c r="DC58" s="97"/>
      <c r="DD58" s="97"/>
      <c r="DE58" s="97"/>
      <c r="DF58" s="97"/>
      <c r="DG58" s="97"/>
      <c r="DH58" s="97"/>
      <c r="DI58" s="97"/>
      <c r="DJ58" s="97"/>
      <c r="DK58" s="97"/>
      <c r="DL58" s="97"/>
      <c r="DM58" s="97"/>
      <c r="DN58" s="97"/>
      <c r="DO58" s="97"/>
      <c r="DP58" s="97"/>
      <c r="DQ58" s="97"/>
      <c r="DR58" s="97"/>
      <c r="DS58" s="97"/>
      <c r="DT58" s="97"/>
      <c r="DU58" s="97"/>
      <c r="DV58" s="97"/>
      <c r="DW58" s="97"/>
      <c r="DX58" s="97"/>
      <c r="DY58" s="97"/>
      <c r="DZ58" s="97"/>
      <c r="EA58" s="97"/>
      <c r="EB58" s="97"/>
      <c r="EC58" s="97"/>
      <c r="ED58" s="97"/>
      <c r="EE58" s="97"/>
      <c r="EF58" s="97"/>
      <c r="EG58" s="97"/>
      <c r="EH58" s="97"/>
      <c r="EI58" s="97"/>
      <c r="EJ58" s="97"/>
      <c r="EK58" s="97"/>
      <c r="EL58" s="97"/>
      <c r="EM58" s="97"/>
      <c r="EN58" s="97"/>
      <c r="EO58" s="97"/>
      <c r="EP58" s="97"/>
      <c r="EQ58" s="11">
        <v>43075</v>
      </c>
      <c r="ER58" s="11">
        <v>43194</v>
      </c>
      <c r="ES58" s="8"/>
      <c r="ET58" s="8"/>
      <c r="EU58" s="8"/>
      <c r="EV58" s="8"/>
      <c r="EW58" s="8"/>
      <c r="EX58" s="133">
        <v>75</v>
      </c>
      <c r="EY58" s="134"/>
      <c r="EZ58" s="134"/>
      <c r="FA58" s="135"/>
      <c r="FB58" s="136" t="s">
        <v>499</v>
      </c>
      <c r="FC58" s="9" t="s">
        <v>381</v>
      </c>
      <c r="FD58" s="3"/>
      <c r="FE58" s="3" t="s">
        <v>328</v>
      </c>
      <c r="FF58" s="137" t="s">
        <v>146</v>
      </c>
      <c r="FG58" s="138">
        <v>1526</v>
      </c>
      <c r="FH58" s="139" t="s">
        <v>600</v>
      </c>
    </row>
    <row r="59" spans="1:164" ht="100.5" customHeight="1">
      <c r="A59" s="87" t="e">
        <f t="shared" si="3"/>
        <v>#REF!</v>
      </c>
      <c r="B59" s="75"/>
      <c r="C59" s="5"/>
      <c r="D59" s="128"/>
      <c r="E59" s="9">
        <v>113760</v>
      </c>
      <c r="F59" s="8" t="s">
        <v>601</v>
      </c>
      <c r="G59" s="129" t="s">
        <v>602</v>
      </c>
      <c r="H59" s="130">
        <v>12750000</v>
      </c>
      <c r="I59" s="130">
        <v>11814622.98</v>
      </c>
      <c r="J59" s="8" t="s">
        <v>302</v>
      </c>
      <c r="K59" s="93" t="s">
        <v>603</v>
      </c>
      <c r="L59" s="8"/>
      <c r="M59" s="9"/>
      <c r="N59" s="8"/>
      <c r="O59" s="9"/>
      <c r="P59" s="140" t="s">
        <v>604</v>
      </c>
      <c r="Q59" s="8"/>
      <c r="R59" s="10"/>
      <c r="S59" s="10"/>
      <c r="T59" s="10"/>
      <c r="U59" s="10"/>
      <c r="V59" s="11"/>
      <c r="W59" s="11"/>
      <c r="X59" s="97"/>
      <c r="Y59" s="97"/>
      <c r="Z59" s="97"/>
      <c r="AA59" s="97"/>
      <c r="AB59" s="97"/>
      <c r="AC59" s="97"/>
      <c r="AD59" s="97"/>
      <c r="AE59" s="97"/>
      <c r="AF59" s="97"/>
      <c r="AG59" s="97"/>
      <c r="AH59" s="97"/>
      <c r="AI59" s="97"/>
      <c r="AJ59" s="97"/>
      <c r="AK59" s="97"/>
      <c r="AL59" s="97"/>
      <c r="AM59" s="132"/>
      <c r="AN59" s="97"/>
      <c r="AO59" s="97"/>
      <c r="AP59" s="97"/>
      <c r="AQ59" s="97"/>
      <c r="AR59" s="97"/>
      <c r="AS59" s="97"/>
      <c r="AT59" s="97"/>
      <c r="AU59" s="97"/>
      <c r="AV59" s="97"/>
      <c r="AW59" s="97"/>
      <c r="AX59" s="97"/>
      <c r="AY59" s="97"/>
      <c r="AZ59" s="97"/>
      <c r="BA59" s="97"/>
      <c r="BB59" s="97"/>
      <c r="BC59" s="97"/>
      <c r="BD59" s="97"/>
      <c r="BE59" s="97"/>
      <c r="BF59" s="97"/>
      <c r="BG59" s="97"/>
      <c r="BH59" s="97"/>
      <c r="BI59" s="97"/>
      <c r="BJ59" s="97"/>
      <c r="BK59" s="97"/>
      <c r="BL59" s="97"/>
      <c r="BM59" s="97"/>
      <c r="BN59" s="97"/>
      <c r="BO59" s="97"/>
      <c r="BP59" s="97"/>
      <c r="BQ59" s="97"/>
      <c r="BR59" s="97"/>
      <c r="BS59" s="97"/>
      <c r="BT59" s="97"/>
      <c r="BU59" s="97"/>
      <c r="BV59" s="97"/>
      <c r="BW59" s="97"/>
      <c r="BX59" s="97"/>
      <c r="BY59" s="97"/>
      <c r="BZ59" s="97"/>
      <c r="CA59" s="97"/>
      <c r="CB59" s="97"/>
      <c r="CC59" s="97"/>
      <c r="CD59" s="97"/>
      <c r="CE59" s="97"/>
      <c r="CF59" s="97"/>
      <c r="CG59" s="97"/>
      <c r="CH59" s="97"/>
      <c r="CI59" s="97"/>
      <c r="CJ59" s="97"/>
      <c r="CK59" s="97"/>
      <c r="CL59" s="97"/>
      <c r="CM59" s="97"/>
      <c r="CN59" s="97"/>
      <c r="CO59" s="97"/>
      <c r="CP59" s="97"/>
      <c r="CQ59" s="97"/>
      <c r="CR59" s="97"/>
      <c r="CS59" s="97"/>
      <c r="CT59" s="97"/>
      <c r="CU59" s="97"/>
      <c r="CV59" s="97"/>
      <c r="CW59" s="97"/>
      <c r="CX59" s="97"/>
      <c r="CY59" s="97"/>
      <c r="CZ59" s="97"/>
      <c r="DA59" s="97"/>
      <c r="DB59" s="97"/>
      <c r="DC59" s="97"/>
      <c r="DD59" s="97"/>
      <c r="DE59" s="97"/>
      <c r="DF59" s="97"/>
      <c r="DG59" s="97"/>
      <c r="DH59" s="97"/>
      <c r="DI59" s="97"/>
      <c r="DJ59" s="97"/>
      <c r="DK59" s="97"/>
      <c r="DL59" s="97"/>
      <c r="DM59" s="97"/>
      <c r="DN59" s="97"/>
      <c r="DO59" s="97"/>
      <c r="DP59" s="97"/>
      <c r="DQ59" s="97"/>
      <c r="DR59" s="97"/>
      <c r="DS59" s="97"/>
      <c r="DT59" s="97"/>
      <c r="DU59" s="97"/>
      <c r="DV59" s="97"/>
      <c r="DW59" s="97"/>
      <c r="DX59" s="97"/>
      <c r="DY59" s="97"/>
      <c r="DZ59" s="97"/>
      <c r="EA59" s="97"/>
      <c r="EB59" s="97"/>
      <c r="EC59" s="97"/>
      <c r="ED59" s="97"/>
      <c r="EE59" s="97"/>
      <c r="EF59" s="97"/>
      <c r="EG59" s="97"/>
      <c r="EH59" s="97"/>
      <c r="EI59" s="97"/>
      <c r="EJ59" s="97"/>
      <c r="EK59" s="97"/>
      <c r="EL59" s="97"/>
      <c r="EM59" s="97"/>
      <c r="EN59" s="97"/>
      <c r="EO59" s="97"/>
      <c r="EP59" s="97"/>
      <c r="EQ59" s="11">
        <v>43983</v>
      </c>
      <c r="ER59" s="11">
        <v>44132</v>
      </c>
      <c r="ES59" s="8"/>
      <c r="ET59" s="9" t="s">
        <v>605</v>
      </c>
      <c r="EU59" s="9" t="s">
        <v>606</v>
      </c>
      <c r="EV59" s="8"/>
      <c r="EW59" s="8"/>
      <c r="EX59" s="133">
        <v>40</v>
      </c>
      <c r="EY59" s="134"/>
      <c r="EZ59" s="134"/>
      <c r="FA59" s="135"/>
      <c r="FB59" s="136" t="s">
        <v>149</v>
      </c>
      <c r="FC59" s="9" t="s">
        <v>408</v>
      </c>
      <c r="FD59" s="3"/>
      <c r="FE59" s="3" t="s">
        <v>360</v>
      </c>
      <c r="FF59" s="137" t="s">
        <v>169</v>
      </c>
      <c r="FG59" s="138">
        <v>484573</v>
      </c>
      <c r="FH59" s="141" t="s">
        <v>891</v>
      </c>
    </row>
    <row r="60" spans="1:164" ht="50.1" customHeight="1">
      <c r="A60" s="87" t="e">
        <f t="shared" si="3"/>
        <v>#REF!</v>
      </c>
      <c r="B60" s="75"/>
      <c r="C60" s="5"/>
      <c r="D60" s="128"/>
      <c r="E60" s="9">
        <v>114089</v>
      </c>
      <c r="F60" s="8" t="s">
        <v>607</v>
      </c>
      <c r="G60" s="129" t="s">
        <v>608</v>
      </c>
      <c r="H60" s="130">
        <v>24431975.5</v>
      </c>
      <c r="I60" s="130">
        <v>24428541.82</v>
      </c>
      <c r="J60" s="8" t="s">
        <v>302</v>
      </c>
      <c r="K60" s="93" t="s">
        <v>609</v>
      </c>
      <c r="L60" s="8"/>
      <c r="M60" s="9"/>
      <c r="N60" s="8"/>
      <c r="O60" s="9"/>
      <c r="P60" s="131" t="s">
        <v>610</v>
      </c>
      <c r="Q60" s="8"/>
      <c r="R60" s="10"/>
      <c r="S60" s="10"/>
      <c r="T60" s="10"/>
      <c r="U60" s="10"/>
      <c r="V60" s="11"/>
      <c r="W60" s="11"/>
      <c r="X60" s="97"/>
      <c r="Y60" s="97"/>
      <c r="Z60" s="97"/>
      <c r="AA60" s="97"/>
      <c r="AB60" s="97"/>
      <c r="AC60" s="97"/>
      <c r="AD60" s="97"/>
      <c r="AE60" s="97"/>
      <c r="AF60" s="97"/>
      <c r="AG60" s="97"/>
      <c r="AH60" s="97"/>
      <c r="AI60" s="97"/>
      <c r="AJ60" s="97"/>
      <c r="AK60" s="97"/>
      <c r="AL60" s="97"/>
      <c r="AM60" s="132"/>
      <c r="AN60" s="97"/>
      <c r="AO60" s="97"/>
      <c r="AP60" s="97"/>
      <c r="AQ60" s="97"/>
      <c r="AR60" s="97"/>
      <c r="AS60" s="97"/>
      <c r="AT60" s="97"/>
      <c r="AU60" s="97"/>
      <c r="AV60" s="97"/>
      <c r="AW60" s="97"/>
      <c r="AX60" s="97"/>
      <c r="AY60" s="97"/>
      <c r="AZ60" s="97"/>
      <c r="BA60" s="97"/>
      <c r="BB60" s="97"/>
      <c r="BC60" s="97"/>
      <c r="BD60" s="97"/>
      <c r="BE60" s="97"/>
      <c r="BF60" s="97"/>
      <c r="BG60" s="97"/>
      <c r="BH60" s="97"/>
      <c r="BI60" s="97"/>
      <c r="BJ60" s="97"/>
      <c r="BK60" s="97"/>
      <c r="BL60" s="97"/>
      <c r="BM60" s="97"/>
      <c r="BN60" s="97"/>
      <c r="BO60" s="97"/>
      <c r="BP60" s="97"/>
      <c r="BQ60" s="97"/>
      <c r="BR60" s="97"/>
      <c r="BS60" s="97"/>
      <c r="BT60" s="97"/>
      <c r="BU60" s="97"/>
      <c r="BV60" s="97"/>
      <c r="BW60" s="97"/>
      <c r="BX60" s="97"/>
      <c r="BY60" s="97"/>
      <c r="BZ60" s="97"/>
      <c r="CA60" s="97"/>
      <c r="CB60" s="97"/>
      <c r="CC60" s="97"/>
      <c r="CD60" s="97"/>
      <c r="CE60" s="97"/>
      <c r="CF60" s="97"/>
      <c r="CG60" s="97"/>
      <c r="CH60" s="97"/>
      <c r="CI60" s="97"/>
      <c r="CJ60" s="97"/>
      <c r="CK60" s="97"/>
      <c r="CL60" s="97"/>
      <c r="CM60" s="97"/>
      <c r="CN60" s="97"/>
      <c r="CO60" s="97"/>
      <c r="CP60" s="97"/>
      <c r="CQ60" s="97"/>
      <c r="CR60" s="97"/>
      <c r="CS60" s="97"/>
      <c r="CT60" s="97"/>
      <c r="CU60" s="97"/>
      <c r="CV60" s="97"/>
      <c r="CW60" s="97"/>
      <c r="CX60" s="97"/>
      <c r="CY60" s="97"/>
      <c r="CZ60" s="97"/>
      <c r="DA60" s="97"/>
      <c r="DB60" s="97"/>
      <c r="DC60" s="97"/>
      <c r="DD60" s="97"/>
      <c r="DE60" s="97"/>
      <c r="DF60" s="97"/>
      <c r="DG60" s="97"/>
      <c r="DH60" s="97"/>
      <c r="DI60" s="97"/>
      <c r="DJ60" s="97"/>
      <c r="DK60" s="97"/>
      <c r="DL60" s="97"/>
      <c r="DM60" s="97"/>
      <c r="DN60" s="97"/>
      <c r="DO60" s="97"/>
      <c r="DP60" s="97"/>
      <c r="DQ60" s="97"/>
      <c r="DR60" s="97"/>
      <c r="DS60" s="97"/>
      <c r="DT60" s="97"/>
      <c r="DU60" s="97"/>
      <c r="DV60" s="97"/>
      <c r="DW60" s="97"/>
      <c r="DX60" s="97"/>
      <c r="DY60" s="97"/>
      <c r="DZ60" s="97"/>
      <c r="EA60" s="97"/>
      <c r="EB60" s="97"/>
      <c r="EC60" s="97"/>
      <c r="ED60" s="97"/>
      <c r="EE60" s="97"/>
      <c r="EF60" s="97"/>
      <c r="EG60" s="97"/>
      <c r="EH60" s="97"/>
      <c r="EI60" s="97"/>
      <c r="EJ60" s="97"/>
      <c r="EK60" s="97"/>
      <c r="EL60" s="97"/>
      <c r="EM60" s="97"/>
      <c r="EN60" s="97"/>
      <c r="EO60" s="97"/>
      <c r="EP60" s="97"/>
      <c r="EQ60" s="11">
        <v>43598</v>
      </c>
      <c r="ER60" s="11">
        <v>43687</v>
      </c>
      <c r="ES60" s="8"/>
      <c r="ET60" s="8"/>
      <c r="EU60" s="8"/>
      <c r="EV60" s="8"/>
      <c r="EW60" s="8"/>
      <c r="EX60" s="133">
        <v>0.52</v>
      </c>
      <c r="EY60" s="134"/>
      <c r="EZ60" s="134"/>
      <c r="FA60" s="135"/>
      <c r="FB60" s="136" t="s">
        <v>499</v>
      </c>
      <c r="FC60" s="9" t="s">
        <v>352</v>
      </c>
      <c r="FD60" s="3"/>
      <c r="FE60" s="3" t="s">
        <v>333</v>
      </c>
      <c r="FF60" s="137" t="s">
        <v>169</v>
      </c>
      <c r="FG60" s="138">
        <v>200000</v>
      </c>
      <c r="FH60" s="139" t="s">
        <v>611</v>
      </c>
    </row>
    <row r="61" spans="1:164" ht="50.1" customHeight="1">
      <c r="A61" s="87" t="e">
        <f t="shared" si="3"/>
        <v>#REF!</v>
      </c>
      <c r="B61" s="75"/>
      <c r="C61" s="5"/>
      <c r="D61" s="128"/>
      <c r="E61" s="9">
        <v>96421</v>
      </c>
      <c r="F61" s="8" t="s">
        <v>612</v>
      </c>
      <c r="G61" s="129" t="s">
        <v>613</v>
      </c>
      <c r="H61" s="130">
        <v>7500000</v>
      </c>
      <c r="I61" s="130">
        <v>7500000</v>
      </c>
      <c r="J61" s="8" t="s">
        <v>239</v>
      </c>
      <c r="K61" s="93" t="s">
        <v>614</v>
      </c>
      <c r="L61" s="8"/>
      <c r="M61" s="9"/>
      <c r="N61" s="8"/>
      <c r="O61" s="9"/>
      <c r="P61" s="131" t="s">
        <v>615</v>
      </c>
      <c r="Q61" s="8"/>
      <c r="R61" s="10"/>
      <c r="S61" s="10"/>
      <c r="T61" s="10"/>
      <c r="U61" s="10"/>
      <c r="V61" s="11"/>
      <c r="W61" s="11"/>
      <c r="X61" s="97"/>
      <c r="Y61" s="97"/>
      <c r="Z61" s="97"/>
      <c r="AA61" s="97"/>
      <c r="AB61" s="97"/>
      <c r="AC61" s="97"/>
      <c r="AD61" s="97"/>
      <c r="AE61" s="97"/>
      <c r="AF61" s="97"/>
      <c r="AG61" s="97"/>
      <c r="AH61" s="97"/>
      <c r="AI61" s="97"/>
      <c r="AJ61" s="97"/>
      <c r="AK61" s="97"/>
      <c r="AL61" s="97"/>
      <c r="AM61" s="132"/>
      <c r="AN61" s="97"/>
      <c r="AO61" s="97"/>
      <c r="AP61" s="97"/>
      <c r="AQ61" s="97"/>
      <c r="AR61" s="97"/>
      <c r="AS61" s="97"/>
      <c r="AT61" s="97"/>
      <c r="AU61" s="97"/>
      <c r="AV61" s="97"/>
      <c r="AW61" s="97"/>
      <c r="AX61" s="97"/>
      <c r="AY61" s="97"/>
      <c r="AZ61" s="97"/>
      <c r="BA61" s="97"/>
      <c r="BB61" s="97"/>
      <c r="BC61" s="97"/>
      <c r="BD61" s="97"/>
      <c r="BE61" s="97"/>
      <c r="BF61" s="97"/>
      <c r="BG61" s="97"/>
      <c r="BH61" s="97"/>
      <c r="BI61" s="97"/>
      <c r="BJ61" s="97"/>
      <c r="BK61" s="97"/>
      <c r="BL61" s="97"/>
      <c r="BM61" s="97"/>
      <c r="BN61" s="97"/>
      <c r="BO61" s="97"/>
      <c r="BP61" s="97"/>
      <c r="BQ61" s="97"/>
      <c r="BR61" s="97"/>
      <c r="BS61" s="97"/>
      <c r="BT61" s="97"/>
      <c r="BU61" s="97"/>
      <c r="BV61" s="97"/>
      <c r="BW61" s="97"/>
      <c r="BX61" s="97"/>
      <c r="BY61" s="97"/>
      <c r="BZ61" s="97"/>
      <c r="CA61" s="97"/>
      <c r="CB61" s="97"/>
      <c r="CC61" s="97"/>
      <c r="CD61" s="97"/>
      <c r="CE61" s="97"/>
      <c r="CF61" s="97"/>
      <c r="CG61" s="97"/>
      <c r="CH61" s="97"/>
      <c r="CI61" s="97"/>
      <c r="CJ61" s="97"/>
      <c r="CK61" s="97"/>
      <c r="CL61" s="97"/>
      <c r="CM61" s="97"/>
      <c r="CN61" s="97"/>
      <c r="CO61" s="97"/>
      <c r="CP61" s="97"/>
      <c r="CQ61" s="97"/>
      <c r="CR61" s="97"/>
      <c r="CS61" s="97"/>
      <c r="CT61" s="97"/>
      <c r="CU61" s="97"/>
      <c r="CV61" s="97"/>
      <c r="CW61" s="97"/>
      <c r="CX61" s="97"/>
      <c r="CY61" s="97"/>
      <c r="CZ61" s="97"/>
      <c r="DA61" s="97"/>
      <c r="DB61" s="97"/>
      <c r="DC61" s="97"/>
      <c r="DD61" s="97"/>
      <c r="DE61" s="97"/>
      <c r="DF61" s="97"/>
      <c r="DG61" s="97"/>
      <c r="DH61" s="97"/>
      <c r="DI61" s="97"/>
      <c r="DJ61" s="97"/>
      <c r="DK61" s="97"/>
      <c r="DL61" s="97"/>
      <c r="DM61" s="97"/>
      <c r="DN61" s="97"/>
      <c r="DO61" s="97"/>
      <c r="DP61" s="97"/>
      <c r="DQ61" s="97"/>
      <c r="DR61" s="97"/>
      <c r="DS61" s="97"/>
      <c r="DT61" s="97"/>
      <c r="DU61" s="97"/>
      <c r="DV61" s="97"/>
      <c r="DW61" s="97"/>
      <c r="DX61" s="97"/>
      <c r="DY61" s="97"/>
      <c r="DZ61" s="97"/>
      <c r="EA61" s="97"/>
      <c r="EB61" s="97"/>
      <c r="EC61" s="97"/>
      <c r="ED61" s="97"/>
      <c r="EE61" s="97"/>
      <c r="EF61" s="97"/>
      <c r="EG61" s="97"/>
      <c r="EH61" s="97"/>
      <c r="EI61" s="97"/>
      <c r="EJ61" s="97"/>
      <c r="EK61" s="97"/>
      <c r="EL61" s="97"/>
      <c r="EM61" s="97"/>
      <c r="EN61" s="97"/>
      <c r="EO61" s="97"/>
      <c r="EP61" s="97"/>
      <c r="EQ61" s="11">
        <v>43822</v>
      </c>
      <c r="ER61" s="11">
        <v>44001</v>
      </c>
      <c r="ES61" s="8"/>
      <c r="ET61" s="8"/>
      <c r="EU61" s="8"/>
      <c r="EV61" s="8"/>
      <c r="EW61" s="8"/>
      <c r="EX61" s="133">
        <v>35</v>
      </c>
      <c r="EY61" s="134"/>
      <c r="EZ61" s="134"/>
      <c r="FA61" s="135"/>
      <c r="FB61" s="136" t="s">
        <v>499</v>
      </c>
      <c r="FC61" s="9" t="s">
        <v>332</v>
      </c>
      <c r="FD61" s="3"/>
      <c r="FE61" s="3" t="s">
        <v>333</v>
      </c>
      <c r="FF61" s="137" t="s">
        <v>169</v>
      </c>
      <c r="FG61" s="138">
        <v>9365</v>
      </c>
      <c r="FH61" s="139" t="s">
        <v>616</v>
      </c>
    </row>
    <row r="62" spans="1:164" ht="50.1" customHeight="1">
      <c r="A62" s="87" t="e">
        <f t="shared" si="3"/>
        <v>#REF!</v>
      </c>
      <c r="B62" s="75"/>
      <c r="C62" s="5"/>
      <c r="D62" s="128"/>
      <c r="E62" s="9">
        <v>117003</v>
      </c>
      <c r="F62" s="8" t="s">
        <v>617</v>
      </c>
      <c r="G62" s="129" t="s">
        <v>618</v>
      </c>
      <c r="H62" s="130">
        <v>2000000</v>
      </c>
      <c r="I62" s="130">
        <v>1969443.17</v>
      </c>
      <c r="J62" s="8" t="s">
        <v>296</v>
      </c>
      <c r="K62" s="93" t="s">
        <v>619</v>
      </c>
      <c r="L62" s="8"/>
      <c r="M62" s="9"/>
      <c r="N62" s="8"/>
      <c r="O62" s="9"/>
      <c r="P62" s="131" t="s">
        <v>620</v>
      </c>
      <c r="Q62" s="8"/>
      <c r="R62" s="10"/>
      <c r="S62" s="10"/>
      <c r="T62" s="10"/>
      <c r="U62" s="10"/>
      <c r="V62" s="11"/>
      <c r="W62" s="11"/>
      <c r="X62" s="97">
        <v>1697795.84</v>
      </c>
      <c r="Y62" s="97">
        <v>1969443.17</v>
      </c>
      <c r="Z62" s="97">
        <v>1969443.17</v>
      </c>
      <c r="AA62" s="97"/>
      <c r="AB62" s="97"/>
      <c r="AC62" s="97"/>
      <c r="AD62" s="97">
        <v>499867.9</v>
      </c>
      <c r="AE62" s="97">
        <v>0</v>
      </c>
      <c r="AF62" s="97">
        <v>499867.9</v>
      </c>
      <c r="AG62" s="142">
        <v>44252</v>
      </c>
      <c r="AH62" s="97">
        <v>308522.88</v>
      </c>
      <c r="AI62" s="97">
        <v>0</v>
      </c>
      <c r="AJ62" s="97">
        <v>308522.88</v>
      </c>
      <c r="AK62" s="142">
        <v>44330</v>
      </c>
      <c r="AL62" s="97">
        <v>266769.62</v>
      </c>
      <c r="AM62" s="132">
        <v>0</v>
      </c>
      <c r="AN62" s="97">
        <v>266769.62</v>
      </c>
      <c r="AO62" s="142">
        <v>44344</v>
      </c>
      <c r="AP62" s="97">
        <v>67491.570000000007</v>
      </c>
      <c r="AQ62" s="97">
        <v>0</v>
      </c>
      <c r="AR62" s="97">
        <v>67491.570000000007</v>
      </c>
      <c r="AS62" s="142">
        <v>44462</v>
      </c>
      <c r="AT62" s="97">
        <v>39145.550000000003</v>
      </c>
      <c r="AU62" s="97">
        <v>0</v>
      </c>
      <c r="AV62" s="97"/>
      <c r="AW62" s="97"/>
      <c r="AX62" s="97"/>
      <c r="AY62" s="97"/>
      <c r="AZ62" s="97"/>
      <c r="BA62" s="97"/>
      <c r="BB62" s="97"/>
      <c r="BC62" s="97"/>
      <c r="BD62" s="97"/>
      <c r="BE62" s="97"/>
      <c r="BF62" s="97"/>
      <c r="BG62" s="97"/>
      <c r="BH62" s="97"/>
      <c r="BI62" s="97"/>
      <c r="BJ62" s="97"/>
      <c r="BK62" s="97"/>
      <c r="BL62" s="97"/>
      <c r="BM62" s="97"/>
      <c r="BN62" s="97"/>
      <c r="BO62" s="97"/>
      <c r="BP62" s="97"/>
      <c r="BQ62" s="97"/>
      <c r="BR62" s="97"/>
      <c r="BS62" s="97"/>
      <c r="BT62" s="97"/>
      <c r="BU62" s="97"/>
      <c r="BV62" s="97"/>
      <c r="BW62" s="97"/>
      <c r="BX62" s="97"/>
      <c r="BY62" s="97"/>
      <c r="BZ62" s="97"/>
      <c r="CA62" s="97"/>
      <c r="CB62" s="97"/>
      <c r="CC62" s="97"/>
      <c r="CD62" s="97"/>
      <c r="CE62" s="97"/>
      <c r="CF62" s="97"/>
      <c r="CG62" s="97"/>
      <c r="CH62" s="97"/>
      <c r="CI62" s="97"/>
      <c r="CJ62" s="97"/>
      <c r="CK62" s="97"/>
      <c r="CL62" s="97"/>
      <c r="CM62" s="97"/>
      <c r="CN62" s="97"/>
      <c r="CO62" s="97"/>
      <c r="CP62" s="97"/>
      <c r="CQ62" s="97"/>
      <c r="CR62" s="97"/>
      <c r="CS62" s="97"/>
      <c r="CT62" s="97"/>
      <c r="CU62" s="97"/>
      <c r="CV62" s="97"/>
      <c r="CW62" s="97"/>
      <c r="CX62" s="97"/>
      <c r="CY62" s="97"/>
      <c r="CZ62" s="97"/>
      <c r="DA62" s="97"/>
      <c r="DB62" s="97"/>
      <c r="DC62" s="97"/>
      <c r="DD62" s="97"/>
      <c r="DE62" s="97"/>
      <c r="DF62" s="97"/>
      <c r="DG62" s="97"/>
      <c r="DH62" s="97"/>
      <c r="DI62" s="97"/>
      <c r="DJ62" s="97"/>
      <c r="DK62" s="97"/>
      <c r="DL62" s="97"/>
      <c r="DM62" s="97"/>
      <c r="DN62" s="97"/>
      <c r="DO62" s="97"/>
      <c r="DP62" s="97"/>
      <c r="DQ62" s="97"/>
      <c r="DR62" s="97"/>
      <c r="DS62" s="97"/>
      <c r="DT62" s="97"/>
      <c r="DU62" s="97"/>
      <c r="DV62" s="97"/>
      <c r="DW62" s="97"/>
      <c r="DX62" s="97"/>
      <c r="DY62" s="97"/>
      <c r="DZ62" s="97"/>
      <c r="EA62" s="97"/>
      <c r="EB62" s="97"/>
      <c r="EC62" s="97"/>
      <c r="ED62" s="97"/>
      <c r="EE62" s="97"/>
      <c r="EF62" s="97"/>
      <c r="EG62" s="97"/>
      <c r="EH62" s="97"/>
      <c r="EI62" s="97"/>
      <c r="EJ62" s="97"/>
      <c r="EK62" s="97"/>
      <c r="EL62" s="97"/>
      <c r="EM62" s="97"/>
      <c r="EN62" s="97"/>
      <c r="EO62" s="97"/>
      <c r="EP62" s="97"/>
      <c r="EQ62" s="11">
        <v>44151</v>
      </c>
      <c r="ER62" s="11">
        <v>44270</v>
      </c>
      <c r="ES62" s="8"/>
      <c r="ET62" s="8"/>
      <c r="EU62" s="8"/>
      <c r="EV62" s="8"/>
      <c r="EW62" s="8"/>
      <c r="EX62" s="133">
        <v>57.8</v>
      </c>
      <c r="EY62" s="134"/>
      <c r="EZ62" s="134"/>
      <c r="FA62" s="135"/>
      <c r="FB62" s="136" t="s">
        <v>307</v>
      </c>
      <c r="FC62" s="9" t="s">
        <v>381</v>
      </c>
      <c r="FD62" s="3"/>
      <c r="FE62" s="3" t="s">
        <v>328</v>
      </c>
      <c r="FF62" s="137" t="s">
        <v>146</v>
      </c>
      <c r="FG62" s="138">
        <v>2053</v>
      </c>
      <c r="FH62" s="139" t="s">
        <v>621</v>
      </c>
    </row>
    <row r="63" spans="1:164" ht="243.75" customHeight="1">
      <c r="A63" s="87" t="e">
        <f t="shared" si="3"/>
        <v>#REF!</v>
      </c>
      <c r="B63" s="75"/>
      <c r="C63" s="5"/>
      <c r="D63" s="128"/>
      <c r="E63" s="9">
        <v>117160</v>
      </c>
      <c r="F63" s="8" t="s">
        <v>622</v>
      </c>
      <c r="G63" s="129" t="s">
        <v>449</v>
      </c>
      <c r="H63" s="130">
        <v>10000000</v>
      </c>
      <c r="I63" s="130">
        <v>9394129.8000000007</v>
      </c>
      <c r="J63" s="143" t="s">
        <v>296</v>
      </c>
      <c r="K63" s="93" t="s">
        <v>623</v>
      </c>
      <c r="L63" s="8" t="s">
        <v>624</v>
      </c>
      <c r="M63" s="9" t="s">
        <v>625</v>
      </c>
      <c r="N63" s="8" t="s">
        <v>626</v>
      </c>
      <c r="O63" s="9">
        <v>7444842765</v>
      </c>
      <c r="P63" s="140" t="s">
        <v>627</v>
      </c>
      <c r="Q63" s="8"/>
      <c r="R63" s="10"/>
      <c r="S63" s="10"/>
      <c r="T63" s="10"/>
      <c r="U63" s="10"/>
      <c r="V63" s="11"/>
      <c r="W63" s="11">
        <v>44109</v>
      </c>
      <c r="X63" s="97">
        <v>8098387.7599999998</v>
      </c>
      <c r="Y63" s="97">
        <f>X63*1.16</f>
        <v>9394129.8015999999</v>
      </c>
      <c r="Z63" s="97">
        <v>9394129.8000000007</v>
      </c>
      <c r="AA63" s="97"/>
      <c r="AB63" s="97"/>
      <c r="AC63" s="97"/>
      <c r="AD63" s="97">
        <v>576949.51</v>
      </c>
      <c r="AE63" s="97"/>
      <c r="AF63" s="97"/>
      <c r="AG63" s="114">
        <v>44260</v>
      </c>
      <c r="AH63" s="97">
        <v>162366.21</v>
      </c>
      <c r="AI63" s="97"/>
      <c r="AJ63" s="97"/>
      <c r="AK63" s="114">
        <v>44281</v>
      </c>
      <c r="AL63" s="97">
        <v>1104740.76</v>
      </c>
      <c r="AM63" s="132"/>
      <c r="AN63" s="97"/>
      <c r="AO63" s="114">
        <v>44382</v>
      </c>
      <c r="AP63" s="97">
        <v>1893495.04</v>
      </c>
      <c r="AQ63" s="97"/>
      <c r="AR63" s="97">
        <f>AP63-AQ63</f>
        <v>1893495.04</v>
      </c>
      <c r="AS63" s="114">
        <v>44483</v>
      </c>
      <c r="AT63" s="97"/>
      <c r="AU63" s="97"/>
      <c r="AV63" s="97"/>
      <c r="AW63" s="97"/>
      <c r="AX63" s="97">
        <v>316925.43</v>
      </c>
      <c r="AY63" s="97">
        <v>0</v>
      </c>
      <c r="AZ63" s="97">
        <f>AX63-AY63</f>
        <v>316925.43</v>
      </c>
      <c r="BA63" s="97"/>
      <c r="BB63" s="97">
        <v>74562.320000000007</v>
      </c>
      <c r="BC63" s="97">
        <v>0</v>
      </c>
      <c r="BD63" s="97">
        <f>BB63-BC63</f>
        <v>74562.320000000007</v>
      </c>
      <c r="BE63" s="429" t="s">
        <v>1399</v>
      </c>
      <c r="BF63" s="97">
        <v>150898.53</v>
      </c>
      <c r="BG63" s="97">
        <v>0</v>
      </c>
      <c r="BH63" s="97">
        <f>BF63-BG63</f>
        <v>150898.53</v>
      </c>
      <c r="BI63" s="97"/>
      <c r="BJ63" s="97">
        <v>127518.64</v>
      </c>
      <c r="BK63" s="97">
        <v>0</v>
      </c>
      <c r="BL63" s="97">
        <f>BJ63-BK63</f>
        <v>127518.64</v>
      </c>
      <c r="BM63" s="97"/>
      <c r="BN63" s="97">
        <v>103365.86</v>
      </c>
      <c r="BO63" s="97">
        <v>0</v>
      </c>
      <c r="BP63" s="97">
        <f>BN63-BO63</f>
        <v>103365.86</v>
      </c>
      <c r="BQ63" s="97"/>
      <c r="BR63" s="97"/>
      <c r="BS63" s="97"/>
      <c r="BT63" s="97"/>
      <c r="BU63" s="97"/>
      <c r="BV63" s="97"/>
      <c r="BW63" s="97"/>
      <c r="BX63" s="97"/>
      <c r="BY63" s="97"/>
      <c r="BZ63" s="97"/>
      <c r="CA63" s="97"/>
      <c r="CB63" s="97"/>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7"/>
      <c r="DB63" s="97"/>
      <c r="DC63" s="97"/>
      <c r="DD63" s="97"/>
      <c r="DE63" s="97"/>
      <c r="DF63" s="97"/>
      <c r="DG63" s="97"/>
      <c r="DH63" s="97"/>
      <c r="DI63" s="97"/>
      <c r="DJ63" s="97"/>
      <c r="DK63" s="97"/>
      <c r="DL63" s="97"/>
      <c r="DM63" s="97"/>
      <c r="DN63" s="97"/>
      <c r="DO63" s="97"/>
      <c r="DP63" s="97"/>
      <c r="DQ63" s="97"/>
      <c r="DR63" s="97"/>
      <c r="DS63" s="97"/>
      <c r="DT63" s="97"/>
      <c r="DU63" s="97"/>
      <c r="DV63" s="97"/>
      <c r="DW63" s="97"/>
      <c r="DX63" s="97"/>
      <c r="DY63" s="97"/>
      <c r="DZ63" s="97"/>
      <c r="EA63" s="97"/>
      <c r="EB63" s="97"/>
      <c r="EC63" s="97"/>
      <c r="ED63" s="97"/>
      <c r="EE63" s="97"/>
      <c r="EF63" s="97"/>
      <c r="EG63" s="97"/>
      <c r="EH63" s="97"/>
      <c r="EI63" s="97"/>
      <c r="EJ63" s="97"/>
      <c r="EK63" s="97"/>
      <c r="EL63" s="97"/>
      <c r="EM63" s="97"/>
      <c r="EN63" s="97"/>
      <c r="EO63" s="97"/>
      <c r="EP63" s="97"/>
      <c r="EQ63" s="11">
        <v>44116</v>
      </c>
      <c r="ER63" s="11">
        <v>44235</v>
      </c>
      <c r="ES63" s="8"/>
      <c r="ET63" s="9" t="s">
        <v>628</v>
      </c>
      <c r="EU63" s="9" t="s">
        <v>629</v>
      </c>
      <c r="EV63" s="8"/>
      <c r="EW63" s="8"/>
      <c r="EX63" s="261">
        <v>100</v>
      </c>
      <c r="EY63" s="134"/>
      <c r="EZ63" s="134"/>
      <c r="FA63" s="135"/>
      <c r="FB63" s="136" t="s">
        <v>147</v>
      </c>
      <c r="FC63" s="9" t="s">
        <v>630</v>
      </c>
      <c r="FD63" s="3"/>
      <c r="FE63" s="3" t="s">
        <v>324</v>
      </c>
      <c r="FF63" s="137" t="s">
        <v>169</v>
      </c>
      <c r="FG63" s="138">
        <v>6500</v>
      </c>
      <c r="FH63" s="144" t="s">
        <v>683</v>
      </c>
    </row>
    <row r="64" spans="1:164" ht="66.75" customHeight="1">
      <c r="A64" s="87" t="e">
        <f t="shared" si="3"/>
        <v>#REF!</v>
      </c>
      <c r="B64" s="75"/>
      <c r="C64" s="5"/>
      <c r="D64" s="128"/>
      <c r="E64" s="9">
        <v>96122</v>
      </c>
      <c r="F64" s="8" t="s">
        <v>519</v>
      </c>
      <c r="G64" s="129" t="s">
        <v>631</v>
      </c>
      <c r="H64" s="130">
        <v>741902.72</v>
      </c>
      <c r="I64" s="130">
        <v>741902.72</v>
      </c>
      <c r="J64" s="8" t="s">
        <v>296</v>
      </c>
      <c r="K64" s="93" t="s">
        <v>632</v>
      </c>
      <c r="L64" s="8"/>
      <c r="M64" s="9"/>
      <c r="N64" s="8"/>
      <c r="O64" s="9"/>
      <c r="P64" s="131" t="s">
        <v>633</v>
      </c>
      <c r="Q64" s="8"/>
      <c r="R64" s="10"/>
      <c r="S64" s="10"/>
      <c r="T64" s="10"/>
      <c r="U64" s="10"/>
      <c r="V64" s="11"/>
      <c r="W64" s="11"/>
      <c r="X64" s="97"/>
      <c r="Y64" s="97"/>
      <c r="Z64" s="97"/>
      <c r="AA64" s="97"/>
      <c r="AB64" s="97"/>
      <c r="AC64" s="97"/>
      <c r="AD64" s="97"/>
      <c r="AE64" s="97"/>
      <c r="AF64" s="97"/>
      <c r="AG64" s="97"/>
      <c r="AH64" s="97"/>
      <c r="AI64" s="97"/>
      <c r="AJ64" s="97"/>
      <c r="AK64" s="97"/>
      <c r="AL64" s="97"/>
      <c r="AM64" s="132"/>
      <c r="AN64" s="97"/>
      <c r="AO64" s="97"/>
      <c r="AP64" s="97"/>
      <c r="AQ64" s="97"/>
      <c r="AR64" s="97"/>
      <c r="AS64" s="97"/>
      <c r="AT64" s="97"/>
      <c r="AU64" s="97"/>
      <c r="AV64" s="97"/>
      <c r="AW64" s="97"/>
      <c r="AX64" s="97"/>
      <c r="AY64" s="97"/>
      <c r="AZ64" s="97"/>
      <c r="BA64" s="97"/>
      <c r="BB64" s="97"/>
      <c r="BC64" s="97"/>
      <c r="BD64" s="97"/>
      <c r="BE64" s="97"/>
      <c r="BF64" s="97"/>
      <c r="BG64" s="97"/>
      <c r="BH64" s="97"/>
      <c r="BI64" s="97"/>
      <c r="BJ64" s="97"/>
      <c r="BK64" s="97"/>
      <c r="BL64" s="97"/>
      <c r="BM64" s="97"/>
      <c r="BN64" s="97"/>
      <c r="BO64" s="97"/>
      <c r="BP64" s="97"/>
      <c r="BQ64" s="97"/>
      <c r="BR64" s="97"/>
      <c r="BS64" s="97"/>
      <c r="BT64" s="97"/>
      <c r="BU64" s="97"/>
      <c r="BV64" s="97"/>
      <c r="BW64" s="97"/>
      <c r="BX64" s="97"/>
      <c r="BY64" s="97"/>
      <c r="BZ64" s="97"/>
      <c r="CA64" s="97"/>
      <c r="CB64" s="97"/>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7"/>
      <c r="DB64" s="97"/>
      <c r="DC64" s="97"/>
      <c r="DD64" s="97"/>
      <c r="DE64" s="97"/>
      <c r="DF64" s="97"/>
      <c r="DG64" s="97"/>
      <c r="DH64" s="97"/>
      <c r="DI64" s="97"/>
      <c r="DJ64" s="97"/>
      <c r="DK64" s="97"/>
      <c r="DL64" s="97"/>
      <c r="DM64" s="97"/>
      <c r="DN64" s="97"/>
      <c r="DO64" s="97"/>
      <c r="DP64" s="97"/>
      <c r="DQ64" s="97"/>
      <c r="DR64" s="97"/>
      <c r="DS64" s="97"/>
      <c r="DT64" s="97"/>
      <c r="DU64" s="97"/>
      <c r="DV64" s="97"/>
      <c r="DW64" s="97"/>
      <c r="DX64" s="97"/>
      <c r="DY64" s="97"/>
      <c r="DZ64" s="97"/>
      <c r="EA64" s="97"/>
      <c r="EB64" s="97"/>
      <c r="EC64" s="97"/>
      <c r="ED64" s="97"/>
      <c r="EE64" s="97"/>
      <c r="EF64" s="97"/>
      <c r="EG64" s="97"/>
      <c r="EH64" s="97"/>
      <c r="EI64" s="97"/>
      <c r="EJ64" s="97"/>
      <c r="EK64" s="97"/>
      <c r="EL64" s="97"/>
      <c r="EM64" s="97"/>
      <c r="EN64" s="97"/>
      <c r="EO64" s="97"/>
      <c r="EP64" s="97"/>
      <c r="EQ64" s="11">
        <v>42970</v>
      </c>
      <c r="ER64" s="11">
        <v>43161</v>
      </c>
      <c r="ES64" s="8"/>
      <c r="ET64" s="8"/>
      <c r="EU64" s="8"/>
      <c r="EV64" s="8"/>
      <c r="EW64" s="8"/>
      <c r="EX64" s="98">
        <v>87</v>
      </c>
      <c r="EY64" s="134"/>
      <c r="EZ64" s="134"/>
      <c r="FA64" s="135"/>
      <c r="FB64" s="136" t="s">
        <v>499</v>
      </c>
      <c r="FC64" s="9" t="s">
        <v>523</v>
      </c>
      <c r="FD64" s="3"/>
      <c r="FE64" s="3" t="s">
        <v>328</v>
      </c>
      <c r="FF64" s="137" t="s">
        <v>169</v>
      </c>
      <c r="FG64" s="138">
        <v>1939</v>
      </c>
      <c r="FH64" s="139" t="s">
        <v>634</v>
      </c>
    </row>
    <row r="65" spans="1:164" ht="66.75" customHeight="1">
      <c r="A65" s="3"/>
      <c r="B65" s="75"/>
      <c r="C65" s="5"/>
      <c r="D65" s="128"/>
      <c r="E65" s="9">
        <v>118330</v>
      </c>
      <c r="F65" s="90" t="s">
        <v>635</v>
      </c>
      <c r="G65" s="91" t="s">
        <v>636</v>
      </c>
      <c r="H65" s="92">
        <v>20800000</v>
      </c>
      <c r="I65" s="92">
        <v>18457062.920000002</v>
      </c>
      <c r="J65" s="145" t="s">
        <v>637</v>
      </c>
      <c r="K65" s="146" t="s">
        <v>638</v>
      </c>
      <c r="L65" s="8"/>
      <c r="M65" s="9"/>
      <c r="N65" s="8"/>
      <c r="O65" s="9"/>
      <c r="P65" s="140" t="s">
        <v>639</v>
      </c>
      <c r="Q65" s="8"/>
      <c r="R65" s="10"/>
      <c r="S65" s="10"/>
      <c r="T65" s="10"/>
      <c r="U65" s="10"/>
      <c r="V65" s="11"/>
      <c r="W65" s="11"/>
      <c r="X65" s="97">
        <v>15911261.130000001</v>
      </c>
      <c r="Y65" s="97">
        <f>X65*1.16</f>
        <v>18457062.910799999</v>
      </c>
      <c r="Z65" s="97">
        <v>18457062.91</v>
      </c>
      <c r="AA65" s="97"/>
      <c r="AB65" s="97"/>
      <c r="AC65" s="97"/>
      <c r="AD65" s="97">
        <v>818939.13</v>
      </c>
      <c r="AE65" s="97"/>
      <c r="AF65" s="97">
        <v>815409.22</v>
      </c>
      <c r="AG65" s="114">
        <v>44263</v>
      </c>
      <c r="AH65" s="97">
        <v>786373.81</v>
      </c>
      <c r="AI65" s="97"/>
      <c r="AJ65" s="97">
        <v>782984.27</v>
      </c>
      <c r="AK65" s="114">
        <v>44266</v>
      </c>
      <c r="AL65" s="97">
        <v>6521888.3899999997</v>
      </c>
      <c r="AM65" s="132"/>
      <c r="AN65" s="97">
        <v>6493776.7999999998</v>
      </c>
      <c r="AO65" s="114">
        <v>44271</v>
      </c>
      <c r="AP65" s="97">
        <v>3787355.07</v>
      </c>
      <c r="AQ65" s="97"/>
      <c r="AR65" s="97">
        <v>3771030.26</v>
      </c>
      <c r="AS65" s="114">
        <v>44272</v>
      </c>
      <c r="AT65" s="97"/>
      <c r="AU65" s="97"/>
      <c r="AV65" s="97"/>
      <c r="AW65" s="97"/>
      <c r="AX65" s="97"/>
      <c r="AY65" s="97"/>
      <c r="AZ65" s="97"/>
      <c r="BA65" s="97"/>
      <c r="BB65" s="97"/>
      <c r="BC65" s="97"/>
      <c r="BD65" s="97"/>
      <c r="BE65" s="97"/>
      <c r="BF65" s="97"/>
      <c r="BG65" s="97"/>
      <c r="BH65" s="97"/>
      <c r="BI65" s="97"/>
      <c r="BJ65" s="97"/>
      <c r="BK65" s="97"/>
      <c r="BL65" s="97"/>
      <c r="BM65" s="97"/>
      <c r="BN65" s="97"/>
      <c r="BO65" s="97"/>
      <c r="BP65" s="97"/>
      <c r="BQ65" s="97"/>
      <c r="BR65" s="97"/>
      <c r="BS65" s="97"/>
      <c r="BT65" s="97"/>
      <c r="BU65" s="97"/>
      <c r="BV65" s="97"/>
      <c r="BW65" s="97"/>
      <c r="BX65" s="97"/>
      <c r="BY65" s="97"/>
      <c r="BZ65" s="97"/>
      <c r="CA65" s="97"/>
      <c r="CB65" s="97"/>
      <c r="CC65" s="97"/>
      <c r="CD65" s="97"/>
      <c r="CE65" s="97"/>
      <c r="CF65" s="97"/>
      <c r="CG65" s="97"/>
      <c r="CH65" s="97"/>
      <c r="CI65" s="97"/>
      <c r="CJ65" s="97"/>
      <c r="CK65" s="97"/>
      <c r="CL65" s="97"/>
      <c r="CM65" s="97"/>
      <c r="CN65" s="97"/>
      <c r="CO65" s="97"/>
      <c r="CP65" s="97"/>
      <c r="CQ65" s="97"/>
      <c r="CR65" s="97"/>
      <c r="CS65" s="97"/>
      <c r="CT65" s="97"/>
      <c r="CU65" s="97"/>
      <c r="CV65" s="97"/>
      <c r="CW65" s="97"/>
      <c r="CX65" s="97"/>
      <c r="CY65" s="97"/>
      <c r="CZ65" s="97"/>
      <c r="DA65" s="97"/>
      <c r="DB65" s="97"/>
      <c r="DC65" s="97"/>
      <c r="DD65" s="97"/>
      <c r="DE65" s="97"/>
      <c r="DF65" s="97"/>
      <c r="DG65" s="97"/>
      <c r="DH65" s="97"/>
      <c r="DI65" s="97"/>
      <c r="DJ65" s="97"/>
      <c r="DK65" s="97"/>
      <c r="DL65" s="97"/>
      <c r="DM65" s="97"/>
      <c r="DN65" s="97"/>
      <c r="DO65" s="97"/>
      <c r="DP65" s="97"/>
      <c r="DQ65" s="97"/>
      <c r="DR65" s="97"/>
      <c r="DS65" s="97"/>
      <c r="DT65" s="97"/>
      <c r="DU65" s="97"/>
      <c r="DV65" s="97"/>
      <c r="DW65" s="97"/>
      <c r="DX65" s="97"/>
      <c r="DY65" s="97"/>
      <c r="DZ65" s="97"/>
      <c r="EA65" s="97"/>
      <c r="EB65" s="97"/>
      <c r="EC65" s="97"/>
      <c r="ED65" s="97"/>
      <c r="EE65" s="97"/>
      <c r="EF65" s="97"/>
      <c r="EG65" s="97"/>
      <c r="EH65" s="97"/>
      <c r="EI65" s="97"/>
      <c r="EJ65" s="97"/>
      <c r="EK65" s="97"/>
      <c r="EL65" s="97"/>
      <c r="EM65" s="97"/>
      <c r="EN65" s="97"/>
      <c r="EO65" s="97"/>
      <c r="EP65" s="97"/>
      <c r="EQ65" s="11"/>
      <c r="ER65" s="11"/>
      <c r="ES65" s="8"/>
      <c r="ET65" s="9" t="s">
        <v>640</v>
      </c>
      <c r="EU65" s="8"/>
      <c r="EV65" s="8"/>
      <c r="EW65" s="8"/>
      <c r="EX65" s="133">
        <v>99</v>
      </c>
      <c r="EY65" s="134"/>
      <c r="EZ65" s="134"/>
      <c r="FA65" s="135"/>
      <c r="FB65" s="136" t="s">
        <v>147</v>
      </c>
      <c r="FC65" s="9" t="s">
        <v>641</v>
      </c>
      <c r="FD65" s="3"/>
      <c r="FE65" s="3" t="s">
        <v>339</v>
      </c>
      <c r="FF65" s="137" t="s">
        <v>146</v>
      </c>
      <c r="FG65" s="138">
        <v>3017</v>
      </c>
      <c r="FH65" s="147" t="s">
        <v>642</v>
      </c>
    </row>
    <row r="66" spans="1:164" ht="99.75" customHeight="1">
      <c r="A66" s="3"/>
      <c r="B66" s="75"/>
      <c r="C66" s="5"/>
      <c r="D66" s="128"/>
      <c r="E66" s="9">
        <v>118925</v>
      </c>
      <c r="F66" s="90" t="s">
        <v>643</v>
      </c>
      <c r="G66" s="91" t="s">
        <v>644</v>
      </c>
      <c r="H66" s="92">
        <v>12000000</v>
      </c>
      <c r="I66" s="92">
        <v>7014156.29</v>
      </c>
      <c r="J66" s="145" t="s">
        <v>645</v>
      </c>
      <c r="K66" s="146" t="s">
        <v>646</v>
      </c>
      <c r="L66" s="8"/>
      <c r="M66" s="9"/>
      <c r="N66" s="8"/>
      <c r="O66" s="9"/>
      <c r="P66" s="140" t="s">
        <v>647</v>
      </c>
      <c r="Q66" s="8"/>
      <c r="R66" s="10"/>
      <c r="S66" s="10"/>
      <c r="T66" s="10"/>
      <c r="U66" s="10"/>
      <c r="V66" s="11"/>
      <c r="W66" s="11"/>
      <c r="X66" s="97">
        <v>6046686.46</v>
      </c>
      <c r="Y66" s="97">
        <f>X66*1.16</f>
        <v>7014156.2935999995</v>
      </c>
      <c r="Z66" s="97">
        <v>7014156.29</v>
      </c>
      <c r="AA66" s="97"/>
      <c r="AB66" s="97">
        <v>3507078.15</v>
      </c>
      <c r="AC66" s="97">
        <v>3507078.15</v>
      </c>
      <c r="AD66" s="97">
        <v>3970954.31</v>
      </c>
      <c r="AE66" s="97">
        <v>1985477.16</v>
      </c>
      <c r="AF66" s="97">
        <v>1968360.97</v>
      </c>
      <c r="AG66" s="114">
        <v>44266</v>
      </c>
      <c r="AH66" s="97">
        <v>1598119.3</v>
      </c>
      <c r="AI66" s="97">
        <v>1521600.99</v>
      </c>
      <c r="AJ66" s="97">
        <v>69629.86</v>
      </c>
      <c r="AK66" s="114">
        <v>44267</v>
      </c>
      <c r="AL66" s="97">
        <v>145020.79</v>
      </c>
      <c r="AM66" s="132"/>
      <c r="AN66" s="97">
        <v>144395.70000000001</v>
      </c>
      <c r="AO66" s="114">
        <v>44301</v>
      </c>
      <c r="AP66" s="97"/>
      <c r="AQ66" s="97"/>
      <c r="AR66" s="97"/>
      <c r="AS66" s="97"/>
      <c r="AT66" s="97"/>
      <c r="AU66" s="97"/>
      <c r="AV66" s="97"/>
      <c r="AW66" s="97"/>
      <c r="AX66" s="97"/>
      <c r="AY66" s="97"/>
      <c r="AZ66" s="97"/>
      <c r="BA66" s="97"/>
      <c r="BB66" s="97"/>
      <c r="BC66" s="97"/>
      <c r="BD66" s="97"/>
      <c r="BE66" s="97"/>
      <c r="BF66" s="97"/>
      <c r="BG66" s="97"/>
      <c r="BH66" s="97"/>
      <c r="BI66" s="97"/>
      <c r="BJ66" s="97"/>
      <c r="BK66" s="97"/>
      <c r="BL66" s="97"/>
      <c r="BM66" s="97"/>
      <c r="BN66" s="97"/>
      <c r="BO66" s="97"/>
      <c r="BP66" s="97"/>
      <c r="BQ66" s="97"/>
      <c r="BR66" s="97"/>
      <c r="BS66" s="97"/>
      <c r="BT66" s="97"/>
      <c r="BU66" s="97"/>
      <c r="BV66" s="97"/>
      <c r="BW66" s="97"/>
      <c r="BX66" s="97"/>
      <c r="BY66" s="97"/>
      <c r="BZ66" s="97"/>
      <c r="CA66" s="97"/>
      <c r="CB66" s="97"/>
      <c r="CC66" s="97"/>
      <c r="CD66" s="97"/>
      <c r="CE66" s="97"/>
      <c r="CF66" s="97"/>
      <c r="CG66" s="97"/>
      <c r="CH66" s="97"/>
      <c r="CI66" s="97"/>
      <c r="CJ66" s="97"/>
      <c r="CK66" s="97"/>
      <c r="CL66" s="97"/>
      <c r="CM66" s="97"/>
      <c r="CN66" s="97"/>
      <c r="CO66" s="97"/>
      <c r="CP66" s="97"/>
      <c r="CQ66" s="97"/>
      <c r="CR66" s="97"/>
      <c r="CS66" s="97"/>
      <c r="CT66" s="97"/>
      <c r="CU66" s="97"/>
      <c r="CV66" s="97"/>
      <c r="CW66" s="97"/>
      <c r="CX66" s="97"/>
      <c r="CY66" s="97"/>
      <c r="CZ66" s="97"/>
      <c r="DA66" s="97"/>
      <c r="DB66" s="97"/>
      <c r="DC66" s="97"/>
      <c r="DD66" s="97"/>
      <c r="DE66" s="97"/>
      <c r="DF66" s="97"/>
      <c r="DG66" s="97"/>
      <c r="DH66" s="97"/>
      <c r="DI66" s="97"/>
      <c r="DJ66" s="97"/>
      <c r="DK66" s="97"/>
      <c r="DL66" s="97"/>
      <c r="DM66" s="97"/>
      <c r="DN66" s="97"/>
      <c r="DO66" s="97"/>
      <c r="DP66" s="97"/>
      <c r="DQ66" s="97"/>
      <c r="DR66" s="97"/>
      <c r="DS66" s="97"/>
      <c r="DT66" s="97"/>
      <c r="DU66" s="97"/>
      <c r="DV66" s="97"/>
      <c r="DW66" s="97"/>
      <c r="DX66" s="97"/>
      <c r="DY66" s="97"/>
      <c r="DZ66" s="97"/>
      <c r="EA66" s="97"/>
      <c r="EB66" s="97"/>
      <c r="EC66" s="97"/>
      <c r="ED66" s="97"/>
      <c r="EE66" s="97"/>
      <c r="EF66" s="97"/>
      <c r="EG66" s="97"/>
      <c r="EH66" s="97"/>
      <c r="EI66" s="97"/>
      <c r="EJ66" s="97"/>
      <c r="EK66" s="97"/>
      <c r="EL66" s="97"/>
      <c r="EM66" s="97"/>
      <c r="EN66" s="97"/>
      <c r="EO66" s="97"/>
      <c r="EP66" s="97"/>
      <c r="EQ66" s="11"/>
      <c r="ER66" s="11"/>
      <c r="ES66" s="8"/>
      <c r="ET66" s="8"/>
      <c r="EU66" s="8"/>
      <c r="EV66" s="8"/>
      <c r="EW66" s="8"/>
      <c r="EX66" s="133">
        <v>100</v>
      </c>
      <c r="EY66" s="134"/>
      <c r="EZ66" s="134"/>
      <c r="FA66" s="135"/>
      <c r="FB66" s="136" t="s">
        <v>147</v>
      </c>
      <c r="FC66" s="9" t="s">
        <v>648</v>
      </c>
      <c r="FD66" s="3"/>
      <c r="FE66" s="3" t="s">
        <v>339</v>
      </c>
      <c r="FF66" s="137" t="s">
        <v>146</v>
      </c>
      <c r="FG66" s="138">
        <v>4931</v>
      </c>
      <c r="FH66" s="139"/>
    </row>
    <row r="67" spans="1:164" ht="99" customHeight="1">
      <c r="A67" s="3"/>
      <c r="B67" s="75"/>
      <c r="C67" s="5"/>
      <c r="D67" s="128"/>
      <c r="E67" s="9">
        <v>118928</v>
      </c>
      <c r="F67" s="90" t="s">
        <v>649</v>
      </c>
      <c r="G67" s="91" t="s">
        <v>644</v>
      </c>
      <c r="H67" s="92">
        <v>2500000</v>
      </c>
      <c r="I67" s="92">
        <v>2056487.27</v>
      </c>
      <c r="J67" s="148" t="s">
        <v>645</v>
      </c>
      <c r="K67" s="146" t="s">
        <v>650</v>
      </c>
      <c r="L67" s="8"/>
      <c r="M67" s="9"/>
      <c r="N67" s="8"/>
      <c r="O67" s="9"/>
      <c r="P67" s="140" t="s">
        <v>651</v>
      </c>
      <c r="Q67" s="8"/>
      <c r="R67" s="10"/>
      <c r="S67" s="10"/>
      <c r="T67" s="10"/>
      <c r="U67" s="10"/>
      <c r="V67" s="11"/>
      <c r="W67" s="11"/>
      <c r="X67" s="97">
        <v>1772833.85</v>
      </c>
      <c r="Y67" s="97">
        <f>X67*1.16</f>
        <v>2056487.2660000001</v>
      </c>
      <c r="Z67" s="97">
        <v>2056487.27</v>
      </c>
      <c r="AA67" s="97"/>
      <c r="AB67" s="97">
        <v>1028243.64</v>
      </c>
      <c r="AC67" s="97">
        <v>1028243.635</v>
      </c>
      <c r="AD67" s="97">
        <v>2036126.37</v>
      </c>
      <c r="AE67" s="97">
        <v>1028243.63</v>
      </c>
      <c r="AF67" s="97">
        <v>999106.33</v>
      </c>
      <c r="AG67" s="114">
        <v>44274</v>
      </c>
      <c r="AH67" s="97"/>
      <c r="AI67" s="97"/>
      <c r="AJ67" s="97"/>
      <c r="AK67" s="97"/>
      <c r="AL67" s="97"/>
      <c r="AM67" s="132"/>
      <c r="AN67" s="97"/>
      <c r="AO67" s="97"/>
      <c r="AP67" s="97"/>
      <c r="AQ67" s="97"/>
      <c r="AR67" s="97"/>
      <c r="AS67" s="97"/>
      <c r="AT67" s="97"/>
      <c r="AU67" s="97"/>
      <c r="AV67" s="97"/>
      <c r="AW67" s="97"/>
      <c r="AX67" s="97"/>
      <c r="AY67" s="97"/>
      <c r="AZ67" s="97"/>
      <c r="BA67" s="97"/>
      <c r="BB67" s="97"/>
      <c r="BC67" s="97"/>
      <c r="BD67" s="97"/>
      <c r="BE67" s="97"/>
      <c r="BF67" s="97"/>
      <c r="BG67" s="97"/>
      <c r="BH67" s="97"/>
      <c r="BI67" s="97"/>
      <c r="BJ67" s="97"/>
      <c r="BK67" s="97"/>
      <c r="BL67" s="97"/>
      <c r="BM67" s="97"/>
      <c r="BN67" s="97"/>
      <c r="BO67" s="97"/>
      <c r="BP67" s="97"/>
      <c r="BQ67" s="97"/>
      <c r="BR67" s="97"/>
      <c r="BS67" s="97"/>
      <c r="BT67" s="97"/>
      <c r="BU67" s="97"/>
      <c r="BV67" s="97"/>
      <c r="BW67" s="97"/>
      <c r="BX67" s="97"/>
      <c r="BY67" s="97"/>
      <c r="BZ67" s="97"/>
      <c r="CA67" s="97"/>
      <c r="CB67" s="97"/>
      <c r="CC67" s="97"/>
      <c r="CD67" s="97"/>
      <c r="CE67" s="97"/>
      <c r="CF67" s="97"/>
      <c r="CG67" s="97"/>
      <c r="CH67" s="97"/>
      <c r="CI67" s="97"/>
      <c r="CJ67" s="97"/>
      <c r="CK67" s="97"/>
      <c r="CL67" s="97"/>
      <c r="CM67" s="97"/>
      <c r="CN67" s="97"/>
      <c r="CO67" s="97"/>
      <c r="CP67" s="97"/>
      <c r="CQ67" s="97"/>
      <c r="CR67" s="97"/>
      <c r="CS67" s="97"/>
      <c r="CT67" s="97"/>
      <c r="CU67" s="97"/>
      <c r="CV67" s="97"/>
      <c r="CW67" s="97"/>
      <c r="CX67" s="97"/>
      <c r="CY67" s="97"/>
      <c r="CZ67" s="97"/>
      <c r="DA67" s="97"/>
      <c r="DB67" s="97"/>
      <c r="DC67" s="97"/>
      <c r="DD67" s="97"/>
      <c r="DE67" s="97"/>
      <c r="DF67" s="97"/>
      <c r="DG67" s="97"/>
      <c r="DH67" s="97"/>
      <c r="DI67" s="97"/>
      <c r="DJ67" s="97"/>
      <c r="DK67" s="97"/>
      <c r="DL67" s="97"/>
      <c r="DM67" s="97"/>
      <c r="DN67" s="97"/>
      <c r="DO67" s="97"/>
      <c r="DP67" s="97"/>
      <c r="DQ67" s="97"/>
      <c r="DR67" s="97"/>
      <c r="DS67" s="97"/>
      <c r="DT67" s="97"/>
      <c r="DU67" s="97"/>
      <c r="DV67" s="97"/>
      <c r="DW67" s="97"/>
      <c r="DX67" s="97"/>
      <c r="DY67" s="97"/>
      <c r="DZ67" s="97"/>
      <c r="EA67" s="97"/>
      <c r="EB67" s="97"/>
      <c r="EC67" s="97"/>
      <c r="ED67" s="97"/>
      <c r="EE67" s="97"/>
      <c r="EF67" s="97"/>
      <c r="EG67" s="97"/>
      <c r="EH67" s="97"/>
      <c r="EI67" s="97"/>
      <c r="EJ67" s="97"/>
      <c r="EK67" s="97"/>
      <c r="EL67" s="97"/>
      <c r="EM67" s="97"/>
      <c r="EN67" s="97"/>
      <c r="EO67" s="97"/>
      <c r="EP67" s="97"/>
      <c r="EQ67" s="11"/>
      <c r="ER67" s="11"/>
      <c r="ES67" s="8"/>
      <c r="ET67" s="8"/>
      <c r="EU67" s="8"/>
      <c r="EV67" s="8"/>
      <c r="EW67" s="8"/>
      <c r="EX67" s="133">
        <v>99</v>
      </c>
      <c r="EY67" s="134"/>
      <c r="EZ67" s="134"/>
      <c r="FA67" s="135"/>
      <c r="FB67" s="136" t="s">
        <v>149</v>
      </c>
      <c r="FC67" s="9" t="s">
        <v>652</v>
      </c>
      <c r="FD67" s="3"/>
      <c r="FE67" s="3" t="s">
        <v>348</v>
      </c>
      <c r="FF67" s="137" t="s">
        <v>146</v>
      </c>
      <c r="FG67" s="138"/>
      <c r="FH67" s="139" t="s">
        <v>653</v>
      </c>
    </row>
    <row r="68" spans="1:164" ht="99" customHeight="1">
      <c r="A68" s="3"/>
      <c r="B68" s="75"/>
      <c r="C68" s="5"/>
      <c r="D68" s="128"/>
      <c r="E68" s="9">
        <v>120366</v>
      </c>
      <c r="F68" s="8" t="s">
        <v>654</v>
      </c>
      <c r="G68" s="8"/>
      <c r="H68" s="130"/>
      <c r="I68" s="130"/>
      <c r="J68" s="8" t="s">
        <v>296</v>
      </c>
      <c r="K68" s="93" t="s">
        <v>297</v>
      </c>
      <c r="L68" s="8" t="s">
        <v>298</v>
      </c>
      <c r="M68" s="9" t="s">
        <v>299</v>
      </c>
      <c r="N68" s="8" t="s">
        <v>655</v>
      </c>
      <c r="O68" s="9">
        <v>5555251810</v>
      </c>
      <c r="P68" s="140" t="s">
        <v>656</v>
      </c>
      <c r="Q68" s="8"/>
      <c r="R68" s="10"/>
      <c r="S68" s="10"/>
      <c r="T68" s="10"/>
      <c r="U68" s="10"/>
      <c r="V68" s="11"/>
      <c r="W68" s="11">
        <v>44496</v>
      </c>
      <c r="X68" s="149">
        <f>7106910.27+1562436.72</f>
        <v>8669346.9900000002</v>
      </c>
      <c r="Y68" s="149">
        <f>X68*1.16</f>
        <v>10056442.508399999</v>
      </c>
      <c r="Z68" s="149">
        <v>10056442.51</v>
      </c>
      <c r="AA68" s="97"/>
      <c r="AB68" s="97">
        <v>2473204.77</v>
      </c>
      <c r="AC68" s="97"/>
      <c r="AD68" s="97">
        <v>2336550.5699999998</v>
      </c>
      <c r="AE68" s="97">
        <v>1300965.17</v>
      </c>
      <c r="AF68" s="97"/>
      <c r="AG68" s="114">
        <v>44189</v>
      </c>
      <c r="AH68" s="97">
        <v>2165050.8199999998</v>
      </c>
      <c r="AI68" s="97">
        <v>999515.25</v>
      </c>
      <c r="AJ68" s="97"/>
      <c r="AK68" s="114">
        <v>44189</v>
      </c>
      <c r="AL68" s="97">
        <v>554841.12</v>
      </c>
      <c r="AM68" s="132">
        <v>172724.35</v>
      </c>
      <c r="AN68" s="97"/>
      <c r="AO68" s="120" t="s">
        <v>657</v>
      </c>
      <c r="AP68" s="97">
        <v>1286072.9099999999</v>
      </c>
      <c r="AQ68" s="97">
        <v>0</v>
      </c>
      <c r="AR68" s="97">
        <v>1286072.9099999999</v>
      </c>
      <c r="AS68" s="120" t="s">
        <v>658</v>
      </c>
      <c r="AT68" s="97">
        <v>2019921.55</v>
      </c>
      <c r="AU68" s="97">
        <v>0</v>
      </c>
      <c r="AV68" s="97"/>
      <c r="AW68" s="150" t="s">
        <v>659</v>
      </c>
      <c r="AX68" s="97">
        <v>1812424.95</v>
      </c>
      <c r="AY68" s="97">
        <v>0</v>
      </c>
      <c r="AZ68" s="97"/>
      <c r="BA68" s="150" t="s">
        <v>660</v>
      </c>
      <c r="BB68" s="97"/>
      <c r="BC68" s="97"/>
      <c r="BD68" s="97"/>
      <c r="BE68" s="97"/>
      <c r="BF68" s="97"/>
      <c r="BG68" s="97"/>
      <c r="BH68" s="97"/>
      <c r="BI68" s="97"/>
      <c r="BJ68" s="97"/>
      <c r="BK68" s="97"/>
      <c r="BL68" s="97"/>
      <c r="BM68" s="97"/>
      <c r="BN68" s="97"/>
      <c r="BO68" s="97"/>
      <c r="BP68" s="97"/>
      <c r="BQ68" s="97"/>
      <c r="BR68" s="97"/>
      <c r="BS68" s="97"/>
      <c r="BT68" s="97"/>
      <c r="BU68" s="97"/>
      <c r="BV68" s="97"/>
      <c r="BW68" s="97"/>
      <c r="BX68" s="97"/>
      <c r="BY68" s="97"/>
      <c r="BZ68" s="97"/>
      <c r="CA68" s="97"/>
      <c r="CB68" s="97"/>
      <c r="CC68" s="97"/>
      <c r="CD68" s="97"/>
      <c r="CE68" s="97"/>
      <c r="CF68" s="97"/>
      <c r="CG68" s="97"/>
      <c r="CH68" s="97"/>
      <c r="CI68" s="97"/>
      <c r="CJ68" s="97"/>
      <c r="CK68" s="97"/>
      <c r="CL68" s="97"/>
      <c r="CM68" s="97"/>
      <c r="CN68" s="97"/>
      <c r="CO68" s="97"/>
      <c r="CP68" s="97"/>
      <c r="CQ68" s="97"/>
      <c r="CR68" s="97"/>
      <c r="CS68" s="97"/>
      <c r="CT68" s="97"/>
      <c r="CU68" s="97"/>
      <c r="CV68" s="97"/>
      <c r="CW68" s="97"/>
      <c r="CX68" s="97"/>
      <c r="CY68" s="97"/>
      <c r="CZ68" s="97"/>
      <c r="DA68" s="97"/>
      <c r="DB68" s="97"/>
      <c r="DC68" s="97"/>
      <c r="DD68" s="97"/>
      <c r="DE68" s="97"/>
      <c r="DF68" s="97"/>
      <c r="DG68" s="97"/>
      <c r="DH68" s="97"/>
      <c r="DI68" s="97"/>
      <c r="DJ68" s="97"/>
      <c r="DK68" s="97"/>
      <c r="DL68" s="97"/>
      <c r="DM68" s="97"/>
      <c r="DN68" s="97"/>
      <c r="DO68" s="97"/>
      <c r="DP68" s="97"/>
      <c r="DQ68" s="97"/>
      <c r="DR68" s="97"/>
      <c r="DS68" s="97"/>
      <c r="DT68" s="97"/>
      <c r="DU68" s="97"/>
      <c r="DV68" s="97"/>
      <c r="DW68" s="97"/>
      <c r="DX68" s="97"/>
      <c r="DY68" s="97"/>
      <c r="DZ68" s="97"/>
      <c r="EA68" s="97"/>
      <c r="EB68" s="97"/>
      <c r="EC68" s="97"/>
      <c r="ED68" s="97"/>
      <c r="EE68" s="97"/>
      <c r="EF68" s="97"/>
      <c r="EG68" s="97"/>
      <c r="EH68" s="97"/>
      <c r="EI68" s="97"/>
      <c r="EJ68" s="97"/>
      <c r="EK68" s="97"/>
      <c r="EL68" s="97"/>
      <c r="EM68" s="97"/>
      <c r="EN68" s="97"/>
      <c r="EO68" s="97"/>
      <c r="EP68" s="97"/>
      <c r="EQ68" s="11">
        <v>44130</v>
      </c>
      <c r="ER68" s="11">
        <v>44196</v>
      </c>
      <c r="ES68" s="8"/>
      <c r="ET68" s="8"/>
      <c r="EU68" s="8"/>
      <c r="EV68" s="8"/>
      <c r="EW68" s="8"/>
      <c r="EX68" s="133"/>
      <c r="EY68" s="134"/>
      <c r="EZ68" s="134"/>
      <c r="FA68" s="135"/>
      <c r="FB68" s="136" t="s">
        <v>213</v>
      </c>
      <c r="FC68" s="9" t="s">
        <v>248</v>
      </c>
      <c r="FD68" s="3"/>
      <c r="FE68" s="3" t="s">
        <v>360</v>
      </c>
      <c r="FF68" s="137" t="s">
        <v>146</v>
      </c>
      <c r="FG68" s="138"/>
      <c r="FH68" s="139"/>
    </row>
    <row r="69" spans="1:164" ht="16.5" customHeight="1">
      <c r="B69" s="151"/>
      <c r="F69" s="152" t="s">
        <v>310</v>
      </c>
      <c r="G69" s="90"/>
      <c r="H69" s="153" t="e">
        <f>H7+H52+#REF!+#REF!+#REF!+#REF!+#REF!+#REF!+#REF!+#REF!+#REF!+#REF!+#REF!+#REF!+#REF!+#REF!+#REF!+#REF!+#REF!+#REF!+#REF!+#REF!+#REF!+#REF!+#REF!+#REF!+#REF!+#REF!+#REF!+#REF!+#REF!+#REF!+#REF!+#REF!+#REF!+#REF!+#REF!</f>
        <v>#REF!</v>
      </c>
      <c r="I69" s="153" t="e">
        <f>I7+I52+#REF!+#REF!+#REF!+#REF!+#REF!+#REF!+#REF!+#REF!+#REF!+#REF!+#REF!+#REF!+#REF!+#REF!+#REF!+#REF!+#REF!+#REF!+#REF!+#REF!+#REF!+#REF!+#REF!+#REF!+#REF!+#REF!+#REF!+#REF!+#REF!+#REF!+#REF!+#REF!+#REF!+#REF!+#REF!</f>
        <v>#REF!</v>
      </c>
      <c r="J69" s="154"/>
      <c r="K69" s="154"/>
      <c r="P69" s="154"/>
      <c r="W69" s="154"/>
      <c r="X69" s="153" t="e">
        <f>X7+X52+#REF!+#REF!+#REF!+#REF!+#REF!+#REF!+#REF!+#REF!+#REF!+#REF!+#REF!+#REF!+#REF!+#REF!+#REF!+#REF!+#REF!+#REF!+#REF!+#REF!+#REF!+#REF!+#REF!+#REF!+#REF!+#REF!+#REF!+#REF!+#REF!+#REF!+#REF!+#REF!+#REF!+#REF!+#REF!</f>
        <v>#REF!</v>
      </c>
      <c r="Y69" s="153" t="e">
        <f>Y7+Y52+#REF!+#REF!+#REF!+#REF!+#REF!+#REF!+#REF!+#REF!+#REF!+#REF!+#REF!+#REF!+#REF!+#REF!+#REF!+#REF!+#REF!+#REF!+#REF!+#REF!+#REF!+#REF!+#REF!+#REF!+#REF!+#REF!+#REF!+#REF!+#REF!+#REF!+#REF!+#REF!+#REF!+#REF!+#REF!</f>
        <v>#REF!</v>
      </c>
      <c r="Z69" s="153" t="e">
        <f>Z7+Z52+#REF!+#REF!+#REF!+#REF!+#REF!+#REF!+#REF!+#REF!+#REF!+#REF!+#REF!+#REF!+#REF!+#REF!+#REF!+#REF!+#REF!+#REF!+#REF!+#REF!+#REF!+#REF!+#REF!+#REF!+#REF!+#REF!+#REF!+#REF!+#REF!+#REF!+#REF!+#REF!+#REF!+#REF!+#REF!</f>
        <v>#REF!</v>
      </c>
      <c r="AA69" s="153" t="e">
        <f>AA7+AA52+#REF!+#REF!+#REF!+#REF!+#REF!+#REF!+#REF!+#REF!+#REF!+#REF!+#REF!+#REF!+#REF!+#REF!+#REF!+#REF!+#REF!+#REF!+#REF!+#REF!+#REF!+#REF!+#REF!+#REF!+#REF!+#REF!+#REF!+#REF!+#REF!+#REF!+#REF!+#REF!+#REF!+#REF!+#REF!</f>
        <v>#REF!</v>
      </c>
      <c r="AB69" s="153" t="e">
        <f>AB7+AB52+#REF!+#REF!+#REF!+#REF!+#REF!+#REF!+#REF!+#REF!+#REF!+#REF!+#REF!+#REF!+#REF!+#REF!+#REF!+#REF!+#REF!+#REF!+#REF!+#REF!+#REF!+#REF!+#REF!+#REF!+#REF!+#REF!+#REF!+#REF!+#REF!+#REF!+#REF!+#REF!+#REF!+#REF!+#REF!</f>
        <v>#REF!</v>
      </c>
      <c r="AC69" s="153" t="e">
        <f>AC7+AC52+#REF!+#REF!+#REF!+#REF!+#REF!+#REF!+#REF!+#REF!+#REF!+#REF!+#REF!+#REF!+#REF!+#REF!+#REF!+#REF!+#REF!+#REF!+#REF!+#REF!+#REF!+#REF!+#REF!+#REF!+#REF!+#REF!+#REF!+#REF!+#REF!+#REF!+#REF!+#REF!+#REF!+#REF!+#REF!</f>
        <v>#REF!</v>
      </c>
      <c r="AD69" s="154"/>
      <c r="AE69" s="154"/>
      <c r="AF69" s="154"/>
      <c r="AG69" s="154"/>
      <c r="AH69" s="154"/>
      <c r="AI69" s="154"/>
      <c r="AJ69" s="154"/>
      <c r="AK69" s="154"/>
      <c r="AL69" s="154"/>
      <c r="AM69" s="154"/>
      <c r="AN69" s="154"/>
      <c r="AO69" s="154"/>
      <c r="AP69" s="154"/>
      <c r="AQ69" s="154"/>
      <c r="AR69" s="154"/>
      <c r="AS69" s="155"/>
      <c r="EJ69" s="153" t="e">
        <f>EJ7+EJ52+#REF!+#REF!+#REF!+#REF!+#REF!+#REF!+#REF!+#REF!+#REF!+#REF!+#REF!+#REF!+#REF!+#REF!+#REF!+#REF!+#REF!+#REF!+#REF!+#REF!+#REF!+#REF!+#REF!+#REF!+#REF!+#REF!+#REF!+#REF!+#REF!+#REF!+#REF!+#REF!+#REF!+#REF!+#REF!</f>
        <v>#REF!</v>
      </c>
      <c r="EK69" s="156"/>
      <c r="EL69" s="153" t="e">
        <f>EL7+EL52+#REF!+#REF!+#REF!+#REF!+#REF!+#REF!+#REF!+#REF!+#REF!+#REF!+#REF!+#REF!+#REF!+#REF!+#REF!+#REF!+#REF!+#REF!+#REF!+#REF!+#REF!+#REF!+#REF!+#REF!+#REF!+#REF!+#REF!+#REF!+#REF!+#REF!+#REF!+#REF!+#REF!+#REF!+#REF!</f>
        <v>#REF!</v>
      </c>
      <c r="EM69" s="153" t="e">
        <f>EM7+EM52+#REF!+#REF!+#REF!+#REF!+#REF!+#REF!+#REF!+#REF!+#REF!+#REF!+#REF!+#REF!+#REF!+#REF!+#REF!+#REF!+#REF!+#REF!+#REF!+#REF!+#REF!+#REF!+#REF!+#REF!+#REF!+#REF!+#REF!+#REF!+#REF!+#REF!+#REF!+#REF!+#REF!+#REF!+#REF!</f>
        <v>#REF!</v>
      </c>
      <c r="EN69" s="153" t="e">
        <f>EN7+EN52+#REF!+#REF!+#REF!+#REF!+#REF!+#REF!+#REF!+#REF!+#REF!+#REF!+#REF!+#REF!+#REF!+#REF!+#REF!+#REF!+#REF!+#REF!+#REF!+#REF!+#REF!+#REF!+#REF!+#REF!+#REF!+#REF!+#REF!+#REF!+#REF!+#REF!+#REF!+#REF!+#REF!+#REF!+#REF!</f>
        <v>#REF!</v>
      </c>
      <c r="EO69" s="156"/>
      <c r="EQ69" s="154"/>
      <c r="ER69" s="154"/>
      <c r="ES69" s="156"/>
      <c r="ET69" s="154"/>
      <c r="EU69" s="154"/>
      <c r="EX69" s="154"/>
      <c r="EY69" s="156"/>
      <c r="EZ69" s="156"/>
      <c r="FA69" s="157" t="e">
        <f>(AC69+EJ69)/Z69</f>
        <v>#REF!</v>
      </c>
      <c r="FB69" s="154"/>
      <c r="FC69" s="154"/>
      <c r="FE69" s="154"/>
      <c r="FF69" s="154"/>
      <c r="FH69" s="154"/>
    </row>
    <row r="70" spans="1:164" ht="16.5" customHeight="1">
      <c r="F70" s="158" t="s">
        <v>311</v>
      </c>
      <c r="G70" s="8"/>
      <c r="H70" s="159" t="e">
        <f>+#REF!+#REF!+#REF!+#REF!+#REF!+#REF!+#REF!+#REF!+#REF!+#REF!+#REF!+#REF!+#REF!+#REF!+#REF!+#REF!+#REF!+#REF!+#REF!+#REF!+#REF!+#REF!+#REF!+#REF!+#REF!+#REF!+#REF!+#REF!+#REF!+#REF!+#REF!+#REF!+#REF!+#REF!+#REF!+#REF!+#REF!+#REF!+#REF!</f>
        <v>#REF!</v>
      </c>
      <c r="I70" s="159" t="e">
        <f>+#REF!+#REF!+#REF!+#REF!+#REF!+#REF!+#REF!+#REF!+#REF!+#REF!+#REF!+#REF!+#REF!+#REF!+#REF!+#REF!+#REF!+#REF!+#REF!+#REF!+#REF!+#REF!+#REF!+#REF!+#REF!+#REF!+#REF!+#REF!+#REF!+#REF!+#REF!+#REF!+#REF!+#REF!+#REF!+#REF!+#REF!+#REF!+#REF!</f>
        <v>#REF!</v>
      </c>
      <c r="J70" s="160"/>
      <c r="K70" s="160"/>
      <c r="P70" s="160"/>
      <c r="W70" s="160"/>
      <c r="X70" s="159" t="e">
        <f>+#REF!+#REF!+#REF!+#REF!+#REF!+#REF!+#REF!+#REF!+#REF!+#REF!+#REF!+#REF!+#REF!+#REF!+#REF!+#REF!+#REF!+#REF!+#REF!+#REF!+#REF!+#REF!+#REF!+#REF!+#REF!+#REF!+#REF!+#REF!+#REF!+#REF!+#REF!+#REF!+#REF!+#REF!+#REF!+#REF!+#REF!+#REF!+#REF!</f>
        <v>#REF!</v>
      </c>
      <c r="Y70" s="159" t="e">
        <f>+#REF!+#REF!+#REF!+#REF!+#REF!+#REF!+#REF!+#REF!+#REF!+#REF!+#REF!+#REF!+#REF!+#REF!+#REF!+#REF!+#REF!+#REF!+#REF!+#REF!+#REF!+#REF!+#REF!+#REF!+#REF!+#REF!+#REF!+#REF!+#REF!+#REF!+#REF!+#REF!+#REF!+#REF!+#REF!+#REF!+#REF!+#REF!+#REF!</f>
        <v>#REF!</v>
      </c>
      <c r="Z70" s="159" t="e">
        <f>+#REF!+#REF!+#REF!+#REF!+#REF!+#REF!+#REF!+#REF!+#REF!+#REF!+#REF!+#REF!+#REF!+#REF!+#REF!+#REF!+#REF!+#REF!+#REF!+#REF!+#REF!+#REF!+#REF!+#REF!+#REF!+#REF!+#REF!+#REF!+#REF!+#REF!+#REF!+#REF!+#REF!+#REF!+#REF!+#REF!+#REF!+#REF!+#REF!</f>
        <v>#REF!</v>
      </c>
      <c r="AA70" s="159" t="e">
        <f>+#REF!+#REF!+#REF!+#REF!+#REF!+#REF!+#REF!+#REF!+#REF!+#REF!+#REF!+#REF!+#REF!+#REF!+#REF!+#REF!+#REF!+#REF!+#REF!+#REF!+#REF!+#REF!+#REF!+#REF!+#REF!+#REF!+#REF!+#REF!+#REF!+#REF!+#REF!+#REF!+#REF!+#REF!+#REF!+#REF!+#REF!+#REF!+#REF!</f>
        <v>#REF!</v>
      </c>
      <c r="AB70" s="159" t="e">
        <f>+#REF!+#REF!+#REF!+#REF!+#REF!+#REF!+#REF!+#REF!+#REF!+#REF!+#REF!+#REF!+#REF!+#REF!+#REF!+#REF!+#REF!+#REF!+#REF!+#REF!+#REF!+#REF!+#REF!+#REF!+#REF!+#REF!+#REF!+#REF!+#REF!+#REF!+#REF!+#REF!+#REF!+#REF!+#REF!+#REF!+#REF!+#REF!+#REF!</f>
        <v>#REF!</v>
      </c>
      <c r="AC70" s="159" t="e">
        <f>+#REF!+#REF!+#REF!+#REF!+#REF!+#REF!+#REF!+#REF!+#REF!+#REF!+#REF!+#REF!+#REF!+#REF!+#REF!+#REF!+#REF!+#REF!+#REF!+#REF!+#REF!+#REF!+#REF!+#REF!+#REF!+#REF!+#REF!+#REF!+#REF!+#REF!+#REF!+#REF!+#REF!+#REF!+#REF!+#REF!+#REF!+#REF!+#REF!</f>
        <v>#REF!</v>
      </c>
      <c r="AD70" s="160"/>
      <c r="AE70" s="160"/>
      <c r="AF70" s="160"/>
      <c r="AG70" s="160"/>
      <c r="AH70" s="160"/>
      <c r="AI70" s="160"/>
      <c r="AJ70" s="160"/>
      <c r="AK70" s="160"/>
      <c r="AL70" s="160"/>
      <c r="AM70" s="160"/>
      <c r="AN70" s="160"/>
      <c r="AO70" s="160"/>
      <c r="AP70" s="160"/>
      <c r="AQ70" s="160"/>
      <c r="AR70" s="160"/>
      <c r="AS70" s="155"/>
      <c r="EJ70" s="159" t="e">
        <f>+#REF!+#REF!+#REF!+#REF!+#REF!+#REF!+#REF!+#REF!+#REF!+#REF!+#REF!+#REF!+#REF!+#REF!+#REF!+#REF!+#REF!+#REF!+#REF!+#REF!+#REF!+#REF!+#REF!+#REF!+#REF!+#REF!+#REF!+#REF!+#REF!+#REF!+#REF!+#REF!+#REF!+#REF!+#REF!+#REF!+#REF!+#REF!+#REF!</f>
        <v>#REF!</v>
      </c>
      <c r="EK70" s="161"/>
      <c r="EL70" s="159" t="e">
        <f>+#REF!+#REF!+#REF!+#REF!+#REF!+#REF!+#REF!+#REF!+#REF!+#REF!+#REF!+#REF!+#REF!+#REF!+#REF!+#REF!+#REF!+#REF!+#REF!+#REF!+#REF!+#REF!+#REF!+#REF!+#REF!+#REF!+#REF!+#REF!+#REF!+#REF!+#REF!+#REF!+#REF!+#REF!+#REF!+#REF!+#REF!+#REF!+#REF!</f>
        <v>#REF!</v>
      </c>
      <c r="EM70" s="159" t="e">
        <f>+#REF!+#REF!+#REF!+#REF!+#REF!+#REF!+#REF!+#REF!+#REF!+#REF!+#REF!+#REF!+#REF!+#REF!+#REF!+#REF!+#REF!+#REF!+#REF!+#REF!+#REF!+#REF!+#REF!+#REF!+#REF!+#REF!+#REF!+#REF!+#REF!+#REF!+#REF!+#REF!+#REF!+#REF!+#REF!+#REF!+#REF!+#REF!+#REF!</f>
        <v>#REF!</v>
      </c>
      <c r="EN70" s="159" t="e">
        <f>+#REF!+#REF!+#REF!+#REF!+#REF!+#REF!+#REF!+#REF!+#REF!+#REF!+#REF!+#REF!+#REF!+#REF!+#REF!+#REF!+#REF!+#REF!+#REF!+#REF!+#REF!+#REF!+#REF!+#REF!+#REF!+#REF!+#REF!+#REF!+#REF!+#REF!+#REF!+#REF!+#REF!+#REF!+#REF!+#REF!+#REF!+#REF!+#REF!</f>
        <v>#REF!</v>
      </c>
      <c r="EO70" s="161"/>
      <c r="EQ70" s="160"/>
      <c r="ER70" s="160"/>
      <c r="ES70" s="161"/>
      <c r="ET70" s="160"/>
      <c r="EU70" s="160"/>
      <c r="EX70" s="160"/>
      <c r="EY70" s="161"/>
      <c r="EZ70" s="161"/>
      <c r="FA70" s="157" t="e">
        <f>(AC70+EJ70)/Z70</f>
        <v>#REF!</v>
      </c>
      <c r="FB70" s="160"/>
      <c r="FC70" s="160"/>
      <c r="FE70" s="160"/>
      <c r="FF70" s="160"/>
      <c r="FH70" s="160"/>
    </row>
    <row r="71" spans="1:164" ht="16.5" customHeight="1">
      <c r="E71" s="162"/>
      <c r="F71" s="158" t="s">
        <v>312</v>
      </c>
      <c r="G71" s="8"/>
      <c r="H71" s="159" t="e">
        <f>+#REF!+#REF!+#REF!+#REF!+#REF!+#REF!+#REF!+#REF!+#REF!+#REF!+#REF!+#REF!+#REF!+#REF!+#REF!</f>
        <v>#REF!</v>
      </c>
      <c r="I71" s="159" t="e">
        <f>+#REF!+#REF!+#REF!+#REF!+#REF!+#REF!+#REF!+#REF!+#REF!+#REF!+#REF!+#REF!+#REF!+#REF!+#REF!</f>
        <v>#REF!</v>
      </c>
      <c r="J71" s="163"/>
      <c r="K71" s="160"/>
      <c r="P71" s="160"/>
      <c r="W71" s="160"/>
      <c r="X71" s="159" t="e">
        <f>+#REF!+#REF!+#REF!+#REF!+#REF!+#REF!+#REF!+#REF!+#REF!+#REF!+#REF!+#REF!+#REF!+#REF!+#REF!</f>
        <v>#REF!</v>
      </c>
      <c r="Y71" s="159" t="e">
        <f>+#REF!+#REF!+#REF!+#REF!+#REF!+#REF!+#REF!+#REF!+#REF!+#REF!+#REF!+#REF!+#REF!+#REF!+#REF!</f>
        <v>#REF!</v>
      </c>
      <c r="Z71" s="159" t="e">
        <f>+#REF!+#REF!+#REF!+#REF!+#REF!+#REF!+#REF!+#REF!+#REF!+#REF!+#REF!+#REF!+#REF!+#REF!+#REF!</f>
        <v>#REF!</v>
      </c>
      <c r="AA71" s="159" t="e">
        <f>+#REF!+#REF!+#REF!+#REF!+#REF!+#REF!+#REF!+#REF!+#REF!+#REF!+#REF!+#REF!+#REF!+#REF!+#REF!</f>
        <v>#REF!</v>
      </c>
      <c r="AB71" s="159" t="e">
        <f>+#REF!+#REF!+#REF!+#REF!+#REF!+#REF!+#REF!+#REF!+#REF!+#REF!+#REF!+#REF!+#REF!+#REF!+#REF!</f>
        <v>#REF!</v>
      </c>
      <c r="AC71" s="159" t="e">
        <f>+#REF!+#REF!+#REF!+#REF!+#REF!+#REF!+#REF!+#REF!+#REF!+#REF!+#REF!+#REF!+#REF!+#REF!+#REF!</f>
        <v>#REF!</v>
      </c>
      <c r="AD71" s="160"/>
      <c r="AE71" s="160"/>
      <c r="AF71" s="160"/>
      <c r="AG71" s="160"/>
      <c r="AH71" s="160"/>
      <c r="AI71" s="160"/>
      <c r="AJ71" s="160"/>
      <c r="AK71" s="160"/>
      <c r="AL71" s="160"/>
      <c r="AM71" s="160"/>
      <c r="AN71" s="160"/>
      <c r="AO71" s="160"/>
      <c r="AP71" s="160"/>
      <c r="AQ71" s="160"/>
      <c r="AR71" s="160"/>
      <c r="AS71" s="155"/>
      <c r="EJ71" s="159" t="e">
        <f>+#REF!+#REF!+#REF!+#REF!+#REF!+#REF!+#REF!+#REF!+#REF!+#REF!+#REF!+#REF!+#REF!+#REF!+#REF!</f>
        <v>#REF!</v>
      </c>
      <c r="EK71" s="161"/>
      <c r="EL71" s="159" t="e">
        <f>+#REF!+#REF!+#REF!+#REF!+#REF!+#REF!+#REF!+#REF!+#REF!+#REF!+#REF!+#REF!+#REF!+#REF!+#REF!</f>
        <v>#REF!</v>
      </c>
      <c r="EM71" s="159" t="e">
        <f>+#REF!+#REF!+#REF!+#REF!+#REF!+#REF!+#REF!+#REF!+#REF!+#REF!+#REF!+#REF!+#REF!+#REF!+#REF!</f>
        <v>#REF!</v>
      </c>
      <c r="EN71" s="159" t="e">
        <f>+#REF!+#REF!+#REF!+#REF!+#REF!+#REF!+#REF!+#REF!+#REF!+#REF!+#REF!+#REF!+#REF!+#REF!+#REF!</f>
        <v>#REF!</v>
      </c>
      <c r="EO71" s="161"/>
      <c r="EQ71" s="160"/>
      <c r="ER71" s="160"/>
      <c r="ES71" s="161"/>
      <c r="ET71" s="160"/>
      <c r="EU71" s="160"/>
      <c r="EX71" s="160"/>
      <c r="EY71" s="161"/>
      <c r="EZ71" s="161"/>
      <c r="FA71" s="157" t="e">
        <f>(AC71+EJ71)/Z71</f>
        <v>#REF!</v>
      </c>
      <c r="FB71" s="160"/>
      <c r="FC71" s="160"/>
      <c r="FE71" s="160"/>
      <c r="FF71" s="160"/>
      <c r="FH71" s="160"/>
    </row>
    <row r="72" spans="1:164" ht="16.5" customHeight="1" thickBot="1">
      <c r="F72" s="164" t="s">
        <v>313</v>
      </c>
      <c r="G72" s="7"/>
      <c r="H72" s="165" t="e">
        <f>+H53+H54+H55+H56+H57+#REF!+#REF!</f>
        <v>#REF!</v>
      </c>
      <c r="I72" s="165" t="e">
        <f>+I53+I54+I55+I56+I57+#REF!+#REF!</f>
        <v>#REF!</v>
      </c>
      <c r="J72" s="166"/>
      <c r="K72" s="166"/>
      <c r="P72" s="166"/>
      <c r="W72" s="166"/>
      <c r="X72" s="165" t="e">
        <f>+X53+X54+X55+X56+X57+#REF!+#REF!</f>
        <v>#REF!</v>
      </c>
      <c r="Y72" s="165" t="e">
        <f>+Y53+Y54+Y55+Y56+Y57+#REF!+#REF!</f>
        <v>#REF!</v>
      </c>
      <c r="Z72" s="165" t="e">
        <f>+Z53+Z54+Z55+Z56+Z57+#REF!+#REF!</f>
        <v>#REF!</v>
      </c>
      <c r="AA72" s="165" t="e">
        <f>+AA53+AA54+AA55+AA56+AA57+#REF!+#REF!</f>
        <v>#REF!</v>
      </c>
      <c r="AB72" s="165" t="e">
        <f>+AB53+AB54+AB55+AB56+AB57+#REF!+#REF!</f>
        <v>#REF!</v>
      </c>
      <c r="AC72" s="165" t="e">
        <f>+AC53+AC54+AC55+AC56+AC57+#REF!+#REF!</f>
        <v>#REF!</v>
      </c>
      <c r="AD72" s="166"/>
      <c r="AE72" s="166"/>
      <c r="AF72" s="166"/>
      <c r="AG72" s="166"/>
      <c r="AH72" s="166"/>
      <c r="AI72" s="166"/>
      <c r="AJ72" s="166"/>
      <c r="AK72" s="166"/>
      <c r="AL72" s="166"/>
      <c r="AM72" s="166"/>
      <c r="AN72" s="166"/>
      <c r="AO72" s="166"/>
      <c r="AP72" s="166"/>
      <c r="AQ72" s="166"/>
      <c r="AR72" s="166"/>
      <c r="AS72" s="155"/>
      <c r="EJ72" s="165" t="e">
        <f>+EJ53+EJ54+EJ55+EJ56+EJ57+#REF!+#REF!</f>
        <v>#REF!</v>
      </c>
      <c r="EK72" s="159" t="e">
        <f>+EK53+EK54+EK55+EK56+EK57+#REF!+#REF!</f>
        <v>#REF!</v>
      </c>
      <c r="EL72" s="165" t="e">
        <f>+EL53+EL54+EL55+EL56+EL57+#REF!+#REF!</f>
        <v>#REF!</v>
      </c>
      <c r="EM72" s="165" t="e">
        <f>+EM53+EM54+EM55+EM56+EM57+#REF!+#REF!</f>
        <v>#REF!</v>
      </c>
      <c r="EN72" s="165" t="e">
        <f>+EN53+EN54+EN55+EN56+EN57+#REF!+#REF!</f>
        <v>#REF!</v>
      </c>
      <c r="EO72" s="159" t="e">
        <f>+EO53+EO54+EO55+EO56+EO57+#REF!+#REF!</f>
        <v>#REF!</v>
      </c>
      <c r="EQ72" s="166"/>
      <c r="ER72" s="166"/>
      <c r="ES72" s="161"/>
      <c r="ET72" s="166"/>
      <c r="EU72" s="166"/>
      <c r="EX72" s="166"/>
      <c r="EY72" s="166"/>
      <c r="EZ72" s="166"/>
      <c r="FA72" s="157" t="e">
        <f>(AC72+EJ72)/Z72</f>
        <v>#REF!</v>
      </c>
      <c r="FB72" s="166"/>
      <c r="FC72" s="166"/>
      <c r="FE72" s="166"/>
      <c r="FF72" s="166"/>
      <c r="FH72" s="166"/>
    </row>
    <row r="73" spans="1:164" ht="16.5" customHeight="1">
      <c r="F73" s="167" t="s">
        <v>108</v>
      </c>
      <c r="G73" s="168"/>
      <c r="H73" s="169" t="e">
        <f>H69+H70+H71+H72</f>
        <v>#REF!</v>
      </c>
      <c r="I73" s="170" t="e">
        <f>I69+I70+I71+I72</f>
        <v>#REF!</v>
      </c>
      <c r="J73" s="171"/>
      <c r="K73" s="172"/>
      <c r="P73" s="173"/>
      <c r="W73" s="174"/>
      <c r="X73" s="175" t="e">
        <f t="shared" ref="X73:AC73" si="5">X69+X70+X71+X72</f>
        <v>#REF!</v>
      </c>
      <c r="Y73" s="175" t="e">
        <f t="shared" si="5"/>
        <v>#REF!</v>
      </c>
      <c r="Z73" s="169" t="e">
        <f t="shared" si="5"/>
        <v>#REF!</v>
      </c>
      <c r="AA73" s="170" t="e">
        <f t="shared" si="5"/>
        <v>#REF!</v>
      </c>
      <c r="AB73" s="170" t="e">
        <f t="shared" si="5"/>
        <v>#REF!</v>
      </c>
      <c r="AC73" s="170" t="e">
        <f t="shared" si="5"/>
        <v>#REF!</v>
      </c>
      <c r="AD73" s="171"/>
      <c r="AE73" s="171"/>
      <c r="AF73" s="171"/>
      <c r="AG73" s="171"/>
      <c r="AH73" s="171"/>
      <c r="AI73" s="171"/>
      <c r="AJ73" s="171"/>
      <c r="AK73" s="171"/>
      <c r="AL73" s="171"/>
      <c r="AM73" s="171"/>
      <c r="AN73" s="171"/>
      <c r="AO73" s="171"/>
      <c r="AP73" s="171"/>
      <c r="AQ73" s="171"/>
      <c r="AR73" s="172"/>
      <c r="AS73" s="12"/>
      <c r="EJ73" s="176" t="e">
        <f>EJ69+EJ70+EJ71+EJ72</f>
        <v>#REF!</v>
      </c>
      <c r="EL73" s="169" t="e">
        <f>EL69+EL70+EL71+EL72</f>
        <v>#REF!</v>
      </c>
      <c r="EM73" s="170" t="e">
        <f>EM69+EM70+EM71+EM72</f>
        <v>#REF!</v>
      </c>
      <c r="EN73" s="175" t="e">
        <f>EN69+EN70+EN71+EN72</f>
        <v>#REF!</v>
      </c>
      <c r="EQ73" s="174"/>
      <c r="ER73" s="172"/>
      <c r="ET73" s="174"/>
      <c r="EU73" s="172"/>
      <c r="EX73" s="173"/>
      <c r="EY73" s="173"/>
      <c r="EZ73" s="173"/>
      <c r="FA73" s="177" t="e">
        <f>(AC73+EJ73)/Z73</f>
        <v>#REF!</v>
      </c>
      <c r="FB73" s="171"/>
      <c r="FC73" s="172"/>
      <c r="FE73" s="174"/>
      <c r="FF73" s="172"/>
      <c r="FH73" s="173"/>
    </row>
    <row r="74" spans="1:164">
      <c r="H74" s="4">
        <f>SUBTOTAL(9,H7:H57)</f>
        <v>487333403.84000003</v>
      </c>
      <c r="I74" s="4">
        <f>SUBTOTAL(9,I7:I57)</f>
        <v>402437681.06000006</v>
      </c>
      <c r="X74" s="4">
        <f t="shared" ref="X74:AC74" si="6">SUBTOTAL(9,X7:X57)</f>
        <v>135707124.67344826</v>
      </c>
      <c r="Y74" s="4">
        <f t="shared" si="6"/>
        <v>157420264.6212</v>
      </c>
      <c r="Z74" s="4">
        <f t="shared" si="6"/>
        <v>157420264.62</v>
      </c>
      <c r="AA74" s="4">
        <f t="shared" si="6"/>
        <v>0</v>
      </c>
      <c r="AB74" s="4">
        <f t="shared" si="6"/>
        <v>25350209.149999999</v>
      </c>
      <c r="AC74" s="4">
        <f t="shared" si="6"/>
        <v>17895251.645</v>
      </c>
      <c r="EJ74" s="4">
        <f>SUBTOTAL(9,EJ7:EJ57)</f>
        <v>0</v>
      </c>
      <c r="EK74" s="4">
        <f>SUBTOTAL(9,EK7:EK57)</f>
        <v>0</v>
      </c>
      <c r="EL74" s="4">
        <f>SUBTOTAL(9,EL7:EL57)</f>
        <v>0</v>
      </c>
      <c r="EM74" s="4">
        <f>SUBTOTAL(9,EM7:EM57)</f>
        <v>0</v>
      </c>
      <c r="EN74" s="4">
        <f>SUBTOTAL(9,EN7:EN57)</f>
        <v>0</v>
      </c>
      <c r="EU74" s="4">
        <f>SUBTOTAL(9,EU7:EU57)</f>
        <v>0</v>
      </c>
      <c r="EY74" s="178"/>
      <c r="EZ74" s="178"/>
    </row>
    <row r="75" spans="1:164">
      <c r="H75" s="2"/>
      <c r="EU75" s="2"/>
    </row>
    <row r="76" spans="1:164" ht="15.75" thickBot="1">
      <c r="Z76" s="179"/>
    </row>
    <row r="77" spans="1:164" ht="15.75" thickBot="1">
      <c r="Z77" s="2"/>
      <c r="EQ77" s="180" t="s">
        <v>661</v>
      </c>
      <c r="ER77" s="181" t="s">
        <v>662</v>
      </c>
      <c r="EU77" s="182"/>
      <c r="EX77" s="182"/>
      <c r="FA77" s="182"/>
      <c r="FB77" s="182"/>
      <c r="FC77" s="182"/>
    </row>
    <row r="78" spans="1:164">
      <c r="EQ78" s="183" t="s">
        <v>663</v>
      </c>
      <c r="ER78" s="184" t="e">
        <f>FA69</f>
        <v>#REF!</v>
      </c>
      <c r="EU78" s="185"/>
      <c r="EV78" s="185"/>
      <c r="EW78" s="185"/>
      <c r="EX78" s="185"/>
      <c r="EY78" s="185"/>
      <c r="EZ78" s="185"/>
      <c r="FA78" s="185"/>
      <c r="FB78" s="185"/>
      <c r="FC78" s="186"/>
    </row>
    <row r="79" spans="1:164">
      <c r="EQ79" s="183" t="s">
        <v>664</v>
      </c>
      <c r="ER79" s="187" t="e">
        <f>FA70</f>
        <v>#REF!</v>
      </c>
      <c r="EU79" s="185"/>
      <c r="EV79" s="185"/>
      <c r="EW79" s="185"/>
      <c r="EX79" s="185"/>
      <c r="EY79" s="185"/>
      <c r="EZ79" s="185"/>
      <c r="FA79" s="185"/>
      <c r="FB79" s="185"/>
      <c r="FC79" s="186"/>
    </row>
    <row r="80" spans="1:164">
      <c r="EQ80" s="183" t="s">
        <v>665</v>
      </c>
      <c r="ER80" s="187" t="e">
        <f>FA71</f>
        <v>#REF!</v>
      </c>
      <c r="EU80" s="185"/>
      <c r="EV80" s="185"/>
      <c r="EW80" s="185"/>
      <c r="EX80" s="185"/>
      <c r="EY80" s="185"/>
      <c r="EZ80" s="185"/>
      <c r="FA80" s="185"/>
      <c r="FB80" s="185"/>
      <c r="FC80" s="186"/>
    </row>
    <row r="81" spans="147:161" ht="15.75" thickBot="1">
      <c r="EQ81" s="188" t="s">
        <v>666</v>
      </c>
      <c r="ER81" s="189" t="e">
        <f>FA72</f>
        <v>#REF!</v>
      </c>
      <c r="EU81" s="185"/>
      <c r="EV81" s="185"/>
      <c r="EW81" s="185"/>
      <c r="EX81" s="185"/>
      <c r="EY81" s="185"/>
      <c r="EZ81" s="185"/>
      <c r="FA81" s="185"/>
      <c r="FB81" s="185"/>
      <c r="FC81" s="186"/>
    </row>
    <row r="82" spans="147:161" ht="15.75" thickBot="1">
      <c r="EQ82" s="190" t="s">
        <v>667</v>
      </c>
      <c r="ER82" s="191" t="e">
        <f>FA73</f>
        <v>#REF!</v>
      </c>
      <c r="EU82" s="192"/>
      <c r="EV82" s="192"/>
      <c r="EW82" s="192"/>
      <c r="EX82" s="192"/>
      <c r="EY82" s="192"/>
      <c r="EZ82" s="192"/>
      <c r="FA82" s="192"/>
      <c r="FB82" s="192"/>
      <c r="FC82" s="193"/>
    </row>
    <row r="85" spans="147:161" ht="15.75" thickBot="1"/>
    <row r="86" spans="147:161" ht="15.75" thickBot="1">
      <c r="EQ86" s="180" t="s">
        <v>668</v>
      </c>
      <c r="ER86" s="181" t="s">
        <v>662</v>
      </c>
      <c r="EU86" s="182"/>
      <c r="EX86" s="182"/>
      <c r="FA86" s="182"/>
      <c r="FB86" s="182"/>
      <c r="FC86" s="182"/>
    </row>
    <row r="87" spans="147:161">
      <c r="EQ87" s="183" t="s">
        <v>663</v>
      </c>
      <c r="ER87" s="194" t="e">
        <f>EJ69</f>
        <v>#REF!</v>
      </c>
      <c r="EU87" s="195"/>
      <c r="EV87" s="195"/>
      <c r="EW87" s="195"/>
      <c r="EX87" s="195"/>
      <c r="EY87" s="195"/>
      <c r="EZ87" s="195"/>
      <c r="FA87" s="195"/>
      <c r="FB87" s="195"/>
      <c r="FC87" s="195"/>
      <c r="FE87" s="2"/>
    </row>
    <row r="88" spans="147:161">
      <c r="EQ88" s="183" t="s">
        <v>664</v>
      </c>
      <c r="ER88" s="194" t="e">
        <f>EJ70</f>
        <v>#REF!</v>
      </c>
      <c r="EU88" s="195"/>
      <c r="EV88" s="195"/>
      <c r="EW88" s="195"/>
      <c r="EX88" s="195"/>
      <c r="EY88" s="195"/>
      <c r="EZ88" s="195"/>
      <c r="FA88" s="195"/>
      <c r="FB88" s="195"/>
      <c r="FC88" s="195"/>
      <c r="FE88" s="2"/>
    </row>
    <row r="89" spans="147:161">
      <c r="EQ89" s="183" t="s">
        <v>665</v>
      </c>
      <c r="ER89" s="194" t="e">
        <f>EJ71</f>
        <v>#REF!</v>
      </c>
      <c r="EU89" s="195"/>
      <c r="EV89" s="195"/>
      <c r="EW89" s="195"/>
      <c r="EX89" s="195"/>
      <c r="EY89" s="195"/>
      <c r="EZ89" s="195"/>
      <c r="FA89" s="195"/>
      <c r="FB89" s="195"/>
      <c r="FC89" s="195"/>
      <c r="FE89" s="2"/>
    </row>
    <row r="90" spans="147:161" ht="15.75" thickBot="1">
      <c r="EQ90" s="188" t="s">
        <v>666</v>
      </c>
      <c r="ER90" s="194" t="e">
        <f>EJ72</f>
        <v>#REF!</v>
      </c>
      <c r="EU90" s="195"/>
      <c r="EV90" s="195"/>
      <c r="EW90" s="195"/>
      <c r="EX90" s="195"/>
      <c r="EY90" s="195"/>
      <c r="EZ90" s="195"/>
      <c r="FA90" s="195"/>
      <c r="FB90" s="195"/>
      <c r="FC90" s="195"/>
      <c r="FE90" s="2"/>
    </row>
    <row r="91" spans="147:161" ht="15.75" thickBot="1">
      <c r="EQ91" s="190" t="s">
        <v>667</v>
      </c>
      <c r="ER91" s="196" t="e">
        <f>ER87+ER88+ER89+ER90</f>
        <v>#REF!</v>
      </c>
      <c r="ES91" s="197"/>
      <c r="ET91" s="197"/>
      <c r="EU91" s="197"/>
      <c r="EV91" s="197"/>
      <c r="EW91" s="197"/>
      <c r="EX91" s="197"/>
      <c r="EY91" s="197"/>
      <c r="EZ91" s="197"/>
      <c r="FA91" s="197"/>
      <c r="FB91" s="197"/>
      <c r="FC91" s="197"/>
      <c r="FE91" s="2"/>
    </row>
    <row r="93" spans="147:161">
      <c r="ER93" s="2"/>
      <c r="EU93" s="2"/>
      <c r="EV93" s="2"/>
      <c r="EW93" s="2"/>
      <c r="EX93" s="2"/>
      <c r="EY93" s="2"/>
      <c r="EZ93" s="2"/>
      <c r="FA93" s="2"/>
      <c r="FB93" s="2"/>
      <c r="FC93" s="2"/>
    </row>
  </sheetData>
  <autoFilter ref="A6:FH71" xr:uid="{00000000-0009-0000-0000-000005000000}"/>
  <hyperlinks>
    <hyperlink ref="B31" r:id="rId1" xr:uid="{00000000-0004-0000-0500-000000000000}"/>
  </hyperlinks>
  <pageMargins left="0.7" right="0.7" top="0.75" bottom="0.75" header="0.3" footer="0.3"/>
  <pageSetup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65808-88FF-4A8D-A666-1A1F2DA127EB}">
  <sheetPr>
    <tabColor rgb="FFFF33CC"/>
  </sheetPr>
  <dimension ref="E3:M6"/>
  <sheetViews>
    <sheetView workbookViewId="0">
      <selection activeCell="H15" sqref="H15"/>
    </sheetView>
  </sheetViews>
  <sheetFormatPr baseColWidth="10" defaultRowHeight="15"/>
  <cols>
    <col min="5" max="6" width="24.42578125" customWidth="1"/>
    <col min="7" max="7" width="18.5703125" customWidth="1"/>
    <col min="8" max="8" width="24.42578125" customWidth="1"/>
  </cols>
  <sheetData>
    <row r="3" spans="5:13" ht="26.25">
      <c r="F3" s="494" t="s">
        <v>1434</v>
      </c>
      <c r="G3" s="494"/>
      <c r="H3" s="494"/>
      <c r="I3" s="494"/>
      <c r="J3" s="494"/>
      <c r="K3" s="494"/>
      <c r="L3" s="494"/>
      <c r="M3" s="494"/>
    </row>
    <row r="5" spans="5:13" ht="18.75">
      <c r="E5" s="453" t="s">
        <v>1436</v>
      </c>
      <c r="F5" s="453" t="s">
        <v>1437</v>
      </c>
      <c r="G5" s="453" t="s">
        <v>1438</v>
      </c>
      <c r="H5" s="453" t="s">
        <v>1439</v>
      </c>
      <c r="I5" s="453"/>
      <c r="J5" s="453"/>
      <c r="K5" s="453"/>
      <c r="L5" s="453"/>
    </row>
    <row r="6" spans="5:13" ht="26.25" customHeight="1">
      <c r="E6" s="454">
        <v>45358</v>
      </c>
      <c r="F6" s="455" t="s">
        <v>1435</v>
      </c>
      <c r="G6" s="455">
        <v>2</v>
      </c>
      <c r="H6" s="456">
        <v>3132477.55</v>
      </c>
    </row>
  </sheetData>
  <mergeCells count="1">
    <mergeCell ref="F3:M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6</vt:i4>
      </vt:variant>
    </vt:vector>
  </HeadingPairs>
  <TitlesOfParts>
    <vt:vector size="13" baseType="lpstr">
      <vt:lpstr>Resumen</vt:lpstr>
      <vt:lpstr>OBRA 2022</vt:lpstr>
      <vt:lpstr>Formato 1</vt:lpstr>
      <vt:lpstr>Formato 2</vt:lpstr>
      <vt:lpstr>PAD REFRENDO 2022-2023</vt:lpstr>
      <vt:lpstr>FID AÑOS ANTERIORES</vt:lpstr>
      <vt:lpstr>ESTIMACIONES REGISTRADS</vt:lpstr>
      <vt:lpstr>'Formato 1'!Área_de_impresión</vt:lpstr>
      <vt:lpstr>'Formato 2'!Área_de_impresión</vt:lpstr>
      <vt:lpstr>'OBRA 2022'!Área_de_impresión</vt:lpstr>
      <vt:lpstr>'PAD REFRENDO 2022-2023'!Área_de_impresión</vt:lpstr>
      <vt:lpstr>'OBRA 2022'!Títulos_a_imprimir</vt:lpstr>
      <vt:lpstr>'PAD REFRENDO 2022-2023'!Títulos_a_imprimir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dc:creator>
  <cp:lastModifiedBy>Gabriela Martinez Romero</cp:lastModifiedBy>
  <cp:lastPrinted>2025-08-25T17:08:32Z</cp:lastPrinted>
  <dcterms:created xsi:type="dcterms:W3CDTF">2019-02-05T22:29:14Z</dcterms:created>
  <dcterms:modified xsi:type="dcterms:W3CDTF">2025-08-25T17:08:49Z</dcterms:modified>
</cp:coreProperties>
</file>